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585" windowWidth="24615" windowHeight="15525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25725"/>
</workbook>
</file>

<file path=xl/calcChain.xml><?xml version="1.0" encoding="utf-8"?>
<calcChain xmlns="http://schemas.openxmlformats.org/spreadsheetml/2006/main">
  <c r="J13" i="1"/>
  <c r="J14"/>
  <c r="J15"/>
  <c r="J16"/>
  <c r="J17"/>
  <c r="J18"/>
  <c r="J20"/>
  <c r="J21"/>
  <c r="J22"/>
  <c r="J23"/>
  <c r="J24"/>
  <c r="J25"/>
  <c r="AK25" s="1"/>
  <c r="J26"/>
  <c r="J27"/>
  <c r="J29"/>
  <c r="J28" s="1"/>
  <c r="J30"/>
  <c r="J32"/>
  <c r="J33"/>
  <c r="J34"/>
  <c r="J35"/>
  <c r="J36"/>
  <c r="J37"/>
  <c r="J38"/>
  <c r="J40"/>
  <c r="J41"/>
  <c r="J43"/>
  <c r="J44"/>
  <c r="J45"/>
  <c r="AK45" s="1"/>
  <c r="J46"/>
  <c r="J47"/>
  <c r="J48"/>
  <c r="J49"/>
  <c r="AK49" s="1"/>
  <c r="J50"/>
  <c r="J52"/>
  <c r="J51" s="1"/>
  <c r="J54"/>
  <c r="J53" s="1"/>
  <c r="J55"/>
  <c r="J57"/>
  <c r="J58"/>
  <c r="J59"/>
  <c r="J60"/>
  <c r="J61"/>
  <c r="AK61" s="1"/>
  <c r="J63"/>
  <c r="J64"/>
  <c r="J65"/>
  <c r="AK65" s="1"/>
  <c r="J67"/>
  <c r="J68"/>
  <c r="J69"/>
  <c r="J70"/>
  <c r="J72"/>
  <c r="J73"/>
  <c r="J71" s="1"/>
  <c r="J74"/>
  <c r="J76"/>
  <c r="J77"/>
  <c r="AK77" s="1"/>
  <c r="J78"/>
  <c r="J79"/>
  <c r="J80"/>
  <c r="J81"/>
  <c r="AK81" s="1"/>
  <c r="J82"/>
  <c r="J83"/>
  <c r="J84"/>
  <c r="J85"/>
  <c r="AK85" s="1"/>
  <c r="J86"/>
  <c r="J87"/>
  <c r="J88"/>
  <c r="I35" i="3"/>
  <c r="I36" s="1"/>
  <c r="I24" i="2" s="1"/>
  <c r="I26" i="3"/>
  <c r="I25"/>
  <c r="I24"/>
  <c r="I23"/>
  <c r="I22"/>
  <c r="I17"/>
  <c r="I16"/>
  <c r="I15"/>
  <c r="I18" s="1"/>
  <c r="I10"/>
  <c r="F10"/>
  <c r="C10"/>
  <c r="F8"/>
  <c r="C8"/>
  <c r="F6"/>
  <c r="C6"/>
  <c r="F4"/>
  <c r="C4"/>
  <c r="F2"/>
  <c r="C2"/>
  <c r="I19" i="2"/>
  <c r="I18"/>
  <c r="I17"/>
  <c r="I16"/>
  <c r="F16"/>
  <c r="I15"/>
  <c r="F15"/>
  <c r="F14"/>
  <c r="F22" s="1"/>
  <c r="I10"/>
  <c r="F10"/>
  <c r="C10"/>
  <c r="F8"/>
  <c r="C8"/>
  <c r="F6"/>
  <c r="C6"/>
  <c r="F4"/>
  <c r="C4"/>
  <c r="F2"/>
  <c r="C2"/>
  <c r="BI88" i="1"/>
  <c r="BE88"/>
  <c r="BC88"/>
  <c r="AO88"/>
  <c r="BH88" s="1"/>
  <c r="AN88"/>
  <c r="BG88" s="1"/>
  <c r="AK88"/>
  <c r="AJ88"/>
  <c r="AI88"/>
  <c r="AG88"/>
  <c r="AF88"/>
  <c r="AE88"/>
  <c r="AD88"/>
  <c r="AC88"/>
  <c r="AB88"/>
  <c r="AA88"/>
  <c r="Y88"/>
  <c r="BI87"/>
  <c r="BE87"/>
  <c r="BC87"/>
  <c r="AO87"/>
  <c r="BH87" s="1"/>
  <c r="AB87" s="1"/>
  <c r="AN87"/>
  <c r="H87" s="1"/>
  <c r="AJ87"/>
  <c r="AI87"/>
  <c r="AG87"/>
  <c r="AF87"/>
  <c r="AE87"/>
  <c r="AD87"/>
  <c r="AC87"/>
  <c r="Y87"/>
  <c r="AK87"/>
  <c r="BI86"/>
  <c r="BE86"/>
  <c r="BC86"/>
  <c r="AO86"/>
  <c r="I86" s="1"/>
  <c r="AN86"/>
  <c r="AV86" s="1"/>
  <c r="AJ86"/>
  <c r="AI86"/>
  <c r="AG86"/>
  <c r="AF86"/>
  <c r="AE86"/>
  <c r="AD86"/>
  <c r="AC86"/>
  <c r="Y86"/>
  <c r="AK86"/>
  <c r="BI85"/>
  <c r="BE85"/>
  <c r="BC85"/>
  <c r="AO85"/>
  <c r="AW85" s="1"/>
  <c r="AN85"/>
  <c r="BG85" s="1"/>
  <c r="AA85" s="1"/>
  <c r="AJ85"/>
  <c r="AI85"/>
  <c r="AG85"/>
  <c r="AF85"/>
  <c r="AE85"/>
  <c r="AD85"/>
  <c r="AC85"/>
  <c r="Y85"/>
  <c r="BI84"/>
  <c r="BE84"/>
  <c r="BC84"/>
  <c r="AO84"/>
  <c r="BH84" s="1"/>
  <c r="AB84" s="1"/>
  <c r="AN84"/>
  <c r="BG84" s="1"/>
  <c r="AA84" s="1"/>
  <c r="AK84"/>
  <c r="AJ84"/>
  <c r="AI84"/>
  <c r="AG84"/>
  <c r="AF84"/>
  <c r="AE84"/>
  <c r="AD84"/>
  <c r="AC84"/>
  <c r="Y84"/>
  <c r="BI83"/>
  <c r="BE83"/>
  <c r="BC83"/>
  <c r="AO83"/>
  <c r="BH83" s="1"/>
  <c r="AB83" s="1"/>
  <c r="AN83"/>
  <c r="H83" s="1"/>
  <c r="AJ83"/>
  <c r="AI83"/>
  <c r="AG83"/>
  <c r="AF83"/>
  <c r="AE83"/>
  <c r="AD83"/>
  <c r="AC83"/>
  <c r="Y83"/>
  <c r="AK83"/>
  <c r="BI82"/>
  <c r="BE82"/>
  <c r="BC82"/>
  <c r="AO82"/>
  <c r="I82" s="1"/>
  <c r="AN82"/>
  <c r="BG82" s="1"/>
  <c r="AA82" s="1"/>
  <c r="AJ82"/>
  <c r="AI82"/>
  <c r="AG82"/>
  <c r="AF82"/>
  <c r="AE82"/>
  <c r="AD82"/>
  <c r="AC82"/>
  <c r="Y82"/>
  <c r="AK82"/>
  <c r="BI81"/>
  <c r="BE81"/>
  <c r="BC81"/>
  <c r="AO81"/>
  <c r="AW81" s="1"/>
  <c r="AN81"/>
  <c r="BG81" s="1"/>
  <c r="AA81" s="1"/>
  <c r="AJ81"/>
  <c r="AI81"/>
  <c r="AG81"/>
  <c r="AF81"/>
  <c r="AE81"/>
  <c r="AD81"/>
  <c r="AC81"/>
  <c r="Y81"/>
  <c r="BI80"/>
  <c r="BE80"/>
  <c r="BC80"/>
  <c r="AO80"/>
  <c r="BH80" s="1"/>
  <c r="AB80" s="1"/>
  <c r="AN80"/>
  <c r="BG80" s="1"/>
  <c r="AA80" s="1"/>
  <c r="AK80"/>
  <c r="AJ80"/>
  <c r="AI80"/>
  <c r="AG80"/>
  <c r="AF80"/>
  <c r="AE80"/>
  <c r="AD80"/>
  <c r="AC80"/>
  <c r="Y80"/>
  <c r="BI79"/>
  <c r="BE79"/>
  <c r="BC79"/>
  <c r="AO79"/>
  <c r="BH79" s="1"/>
  <c r="AB79" s="1"/>
  <c r="AN79"/>
  <c r="H79" s="1"/>
  <c r="AJ79"/>
  <c r="AI79"/>
  <c r="AG79"/>
  <c r="AF79"/>
  <c r="AE79"/>
  <c r="AD79"/>
  <c r="AC79"/>
  <c r="Y79"/>
  <c r="AK79"/>
  <c r="BI78"/>
  <c r="BE78"/>
  <c r="BC78"/>
  <c r="AO78"/>
  <c r="I78" s="1"/>
  <c r="AN78"/>
  <c r="AV78" s="1"/>
  <c r="AJ78"/>
  <c r="AI78"/>
  <c r="AG78"/>
  <c r="AF78"/>
  <c r="AE78"/>
  <c r="AD78"/>
  <c r="AC78"/>
  <c r="Y78"/>
  <c r="AK78"/>
  <c r="BI77"/>
  <c r="BE77"/>
  <c r="BC77"/>
  <c r="AO77"/>
  <c r="AW77" s="1"/>
  <c r="AN77"/>
  <c r="BG77" s="1"/>
  <c r="AA77" s="1"/>
  <c r="AJ77"/>
  <c r="AI77"/>
  <c r="AG77"/>
  <c r="AF77"/>
  <c r="AE77"/>
  <c r="AD77"/>
  <c r="AC77"/>
  <c r="Y77"/>
  <c r="BI76"/>
  <c r="BE76"/>
  <c r="BC76"/>
  <c r="AO76"/>
  <c r="BH76" s="1"/>
  <c r="AB76" s="1"/>
  <c r="AN76"/>
  <c r="AV76" s="1"/>
  <c r="AK76"/>
  <c r="AJ76"/>
  <c r="AI76"/>
  <c r="AG76"/>
  <c r="AF76"/>
  <c r="AE76"/>
  <c r="AD76"/>
  <c r="AC76"/>
  <c r="Y76"/>
  <c r="BI74"/>
  <c r="BE74"/>
  <c r="BC74"/>
  <c r="AO74"/>
  <c r="AW74" s="1"/>
  <c r="AN74"/>
  <c r="BG74" s="1"/>
  <c r="AA74" s="1"/>
  <c r="AK74"/>
  <c r="AJ74"/>
  <c r="AI74"/>
  <c r="AG74"/>
  <c r="AF74"/>
  <c r="AE74"/>
  <c r="AD74"/>
  <c r="AC74"/>
  <c r="Y74"/>
  <c r="BI73"/>
  <c r="BE73"/>
  <c r="BC73"/>
  <c r="AO73"/>
  <c r="BH73" s="1"/>
  <c r="AB73" s="1"/>
  <c r="AN73"/>
  <c r="BG73" s="1"/>
  <c r="AA73" s="1"/>
  <c r="AJ73"/>
  <c r="AI73"/>
  <c r="AG73"/>
  <c r="AF73"/>
  <c r="AE73"/>
  <c r="AD73"/>
  <c r="AC73"/>
  <c r="Y73"/>
  <c r="BI72"/>
  <c r="BE72"/>
  <c r="BC72"/>
  <c r="AO72"/>
  <c r="BH72" s="1"/>
  <c r="AB72" s="1"/>
  <c r="AN72"/>
  <c r="H72" s="1"/>
  <c r="AJ72"/>
  <c r="AI72"/>
  <c r="AG72"/>
  <c r="AF72"/>
  <c r="AE72"/>
  <c r="AD72"/>
  <c r="AC72"/>
  <c r="Y72"/>
  <c r="BI70"/>
  <c r="BE70"/>
  <c r="BC70"/>
  <c r="AO70"/>
  <c r="BH70" s="1"/>
  <c r="AB70" s="1"/>
  <c r="AN70"/>
  <c r="BG70" s="1"/>
  <c r="AA70" s="1"/>
  <c r="AK70"/>
  <c r="AJ70"/>
  <c r="AI70"/>
  <c r="AG70"/>
  <c r="AF70"/>
  <c r="AE70"/>
  <c r="AD70"/>
  <c r="AC70"/>
  <c r="Y70"/>
  <c r="BI69"/>
  <c r="BE69"/>
  <c r="BC69"/>
  <c r="AW69"/>
  <c r="AO69"/>
  <c r="BH69" s="1"/>
  <c r="AB69" s="1"/>
  <c r="AN69"/>
  <c r="H69" s="1"/>
  <c r="AJ69"/>
  <c r="AI69"/>
  <c r="AG69"/>
  <c r="AF69"/>
  <c r="AE69"/>
  <c r="AD69"/>
  <c r="AC69"/>
  <c r="Y69"/>
  <c r="AK69"/>
  <c r="BI68"/>
  <c r="BE68"/>
  <c r="BC68"/>
  <c r="AO68"/>
  <c r="I68" s="1"/>
  <c r="AN68"/>
  <c r="AV68" s="1"/>
  <c r="AJ68"/>
  <c r="AI68"/>
  <c r="AG68"/>
  <c r="AF68"/>
  <c r="AE68"/>
  <c r="AD68"/>
  <c r="AC68"/>
  <c r="Y68"/>
  <c r="AK68"/>
  <c r="BI67"/>
  <c r="BE67"/>
  <c r="BC67"/>
  <c r="AO67"/>
  <c r="AW67" s="1"/>
  <c r="AN67"/>
  <c r="BG67" s="1"/>
  <c r="AA67" s="1"/>
  <c r="AK67"/>
  <c r="AJ67"/>
  <c r="AI67"/>
  <c r="AG67"/>
  <c r="AF67"/>
  <c r="AE67"/>
  <c r="AD67"/>
  <c r="AC67"/>
  <c r="Y67"/>
  <c r="BI65"/>
  <c r="BE65"/>
  <c r="BC65"/>
  <c r="AO65"/>
  <c r="I65" s="1"/>
  <c r="AN65"/>
  <c r="AV65" s="1"/>
  <c r="AJ65"/>
  <c r="AI65"/>
  <c r="AG65"/>
  <c r="AF65"/>
  <c r="AE65"/>
  <c r="AD65"/>
  <c r="AC65"/>
  <c r="Y65"/>
  <c r="BI64"/>
  <c r="BE64"/>
  <c r="BC64"/>
  <c r="AO64"/>
  <c r="AW64" s="1"/>
  <c r="AN64"/>
  <c r="BG64" s="1"/>
  <c r="AA64" s="1"/>
  <c r="AK64"/>
  <c r="AJ64"/>
  <c r="AI64"/>
  <c r="AG64"/>
  <c r="AF64"/>
  <c r="AE64"/>
  <c r="AD64"/>
  <c r="AC64"/>
  <c r="Y64"/>
  <c r="BI63"/>
  <c r="BE63"/>
  <c r="BC63"/>
  <c r="AO63"/>
  <c r="BH63" s="1"/>
  <c r="AB63" s="1"/>
  <c r="AN63"/>
  <c r="H63" s="1"/>
  <c r="AK63"/>
  <c r="AJ63"/>
  <c r="AI63"/>
  <c r="AR62" s="1"/>
  <c r="AG63"/>
  <c r="AF63"/>
  <c r="AE63"/>
  <c r="AD63"/>
  <c r="AC63"/>
  <c r="Y63"/>
  <c r="BI61"/>
  <c r="BE61"/>
  <c r="BC61"/>
  <c r="AO61"/>
  <c r="AW61" s="1"/>
  <c r="AN61"/>
  <c r="BG61" s="1"/>
  <c r="AA61" s="1"/>
  <c r="AJ61"/>
  <c r="AI61"/>
  <c r="AG61"/>
  <c r="AF61"/>
  <c r="AE61"/>
  <c r="AD61"/>
  <c r="AC61"/>
  <c r="Y61"/>
  <c r="BI60"/>
  <c r="BE60"/>
  <c r="BC60"/>
  <c r="AO60"/>
  <c r="BH60" s="1"/>
  <c r="AB60" s="1"/>
  <c r="AN60"/>
  <c r="AV60" s="1"/>
  <c r="AK60"/>
  <c r="AJ60"/>
  <c r="AI60"/>
  <c r="AG60"/>
  <c r="AF60"/>
  <c r="AE60"/>
  <c r="AD60"/>
  <c r="AC60"/>
  <c r="Y60"/>
  <c r="BI59"/>
  <c r="BE59"/>
  <c r="BC59"/>
  <c r="AO59"/>
  <c r="AW59" s="1"/>
  <c r="AN59"/>
  <c r="H59" s="1"/>
  <c r="AJ59"/>
  <c r="AI59"/>
  <c r="AG59"/>
  <c r="AF59"/>
  <c r="AE59"/>
  <c r="AD59"/>
  <c r="AC59"/>
  <c r="Y59"/>
  <c r="AK59"/>
  <c r="BI58"/>
  <c r="BE58"/>
  <c r="BC58"/>
  <c r="AO58"/>
  <c r="I58" s="1"/>
  <c r="AN58"/>
  <c r="AV58" s="1"/>
  <c r="AJ58"/>
  <c r="AI58"/>
  <c r="AG58"/>
  <c r="AF58"/>
  <c r="AE58"/>
  <c r="AD58"/>
  <c r="AC58"/>
  <c r="Y58"/>
  <c r="AK58"/>
  <c r="BI57"/>
  <c r="BE57"/>
  <c r="BC57"/>
  <c r="AO57"/>
  <c r="AW57" s="1"/>
  <c r="AN57"/>
  <c r="BG57" s="1"/>
  <c r="AA57" s="1"/>
  <c r="AJ57"/>
  <c r="AS56" s="1"/>
  <c r="AI57"/>
  <c r="AG57"/>
  <c r="AF57"/>
  <c r="AE57"/>
  <c r="AD57"/>
  <c r="AC57"/>
  <c r="Y57"/>
  <c r="BI55"/>
  <c r="BE55"/>
  <c r="BC55"/>
  <c r="AO55"/>
  <c r="I55" s="1"/>
  <c r="AN55"/>
  <c r="AV55" s="1"/>
  <c r="AJ55"/>
  <c r="AI55"/>
  <c r="AG55"/>
  <c r="AF55"/>
  <c r="AE55"/>
  <c r="AD55"/>
  <c r="AC55"/>
  <c r="Y55"/>
  <c r="AK55"/>
  <c r="BI54"/>
  <c r="BE54"/>
  <c r="BC54"/>
  <c r="AV54"/>
  <c r="AO54"/>
  <c r="AW54" s="1"/>
  <c r="AN54"/>
  <c r="BG54" s="1"/>
  <c r="AA54" s="1"/>
  <c r="AK54"/>
  <c r="AT53" s="1"/>
  <c r="AJ54"/>
  <c r="AS53" s="1"/>
  <c r="AI54"/>
  <c r="AG54"/>
  <c r="AF54"/>
  <c r="AE54"/>
  <c r="AD54"/>
  <c r="AC54"/>
  <c r="Y54"/>
  <c r="BI52"/>
  <c r="BE52"/>
  <c r="BC52"/>
  <c r="AO52"/>
  <c r="I52" s="1"/>
  <c r="I51" s="1"/>
  <c r="AN52"/>
  <c r="AV52" s="1"/>
  <c r="AJ52"/>
  <c r="AS51" s="1"/>
  <c r="AI52"/>
  <c r="AR51" s="1"/>
  <c r="AG52"/>
  <c r="AF52"/>
  <c r="AE52"/>
  <c r="AD52"/>
  <c r="AC52"/>
  <c r="Y52"/>
  <c r="AK52"/>
  <c r="AT51" s="1"/>
  <c r="BI50"/>
  <c r="BE50"/>
  <c r="BC50"/>
  <c r="AW50"/>
  <c r="AO50"/>
  <c r="I50" s="1"/>
  <c r="AN50"/>
  <c r="H50" s="1"/>
  <c r="AJ50"/>
  <c r="AI50"/>
  <c r="AG50"/>
  <c r="AF50"/>
  <c r="AE50"/>
  <c r="AD50"/>
  <c r="AC50"/>
  <c r="Y50"/>
  <c r="AK50"/>
  <c r="BI49"/>
  <c r="BE49"/>
  <c r="BC49"/>
  <c r="AO49"/>
  <c r="I49" s="1"/>
  <c r="AN49"/>
  <c r="AV49" s="1"/>
  <c r="AJ49"/>
  <c r="AI49"/>
  <c r="AG49"/>
  <c r="AF49"/>
  <c r="AE49"/>
  <c r="AD49"/>
  <c r="AC49"/>
  <c r="Y49"/>
  <c r="BI48"/>
  <c r="BE48"/>
  <c r="BC48"/>
  <c r="AO48"/>
  <c r="AW48" s="1"/>
  <c r="AN48"/>
  <c r="BG48" s="1"/>
  <c r="AA48" s="1"/>
  <c r="AK48"/>
  <c r="AJ48"/>
  <c r="AI48"/>
  <c r="AG48"/>
  <c r="AF48"/>
  <c r="AE48"/>
  <c r="AD48"/>
  <c r="AC48"/>
  <c r="Y48"/>
  <c r="BI47"/>
  <c r="BE47"/>
  <c r="BC47"/>
  <c r="AO47"/>
  <c r="BH47" s="1"/>
  <c r="AB47" s="1"/>
  <c r="AN47"/>
  <c r="AV47" s="1"/>
  <c r="AK47"/>
  <c r="AJ47"/>
  <c r="AI47"/>
  <c r="AG47"/>
  <c r="AF47"/>
  <c r="AE47"/>
  <c r="AD47"/>
  <c r="AC47"/>
  <c r="Y47"/>
  <c r="BI46"/>
  <c r="BE46"/>
  <c r="BC46"/>
  <c r="AW46"/>
  <c r="AO46"/>
  <c r="I46" s="1"/>
  <c r="AN46"/>
  <c r="H46" s="1"/>
  <c r="AJ46"/>
  <c r="AI46"/>
  <c r="AG46"/>
  <c r="AF46"/>
  <c r="AE46"/>
  <c r="AD46"/>
  <c r="AC46"/>
  <c r="Y46"/>
  <c r="AK46"/>
  <c r="BI45"/>
  <c r="BE45"/>
  <c r="BC45"/>
  <c r="AO45"/>
  <c r="I45" s="1"/>
  <c r="AN45"/>
  <c r="AV45" s="1"/>
  <c r="AJ45"/>
  <c r="AI45"/>
  <c r="AG45"/>
  <c r="AF45"/>
  <c r="AE45"/>
  <c r="AD45"/>
  <c r="AC45"/>
  <c r="Y45"/>
  <c r="BI44"/>
  <c r="BE44"/>
  <c r="BC44"/>
  <c r="AO44"/>
  <c r="AW44" s="1"/>
  <c r="AN44"/>
  <c r="BG44" s="1"/>
  <c r="AA44" s="1"/>
  <c r="AK44"/>
  <c r="AJ44"/>
  <c r="AI44"/>
  <c r="AG44"/>
  <c r="AF44"/>
  <c r="AE44"/>
  <c r="AD44"/>
  <c r="AC44"/>
  <c r="Y44"/>
  <c r="BI43"/>
  <c r="BE43"/>
  <c r="BC43"/>
  <c r="AO43"/>
  <c r="BH43" s="1"/>
  <c r="AB43" s="1"/>
  <c r="AN43"/>
  <c r="AV43" s="1"/>
  <c r="AK43"/>
  <c r="AJ43"/>
  <c r="AI43"/>
  <c r="AR42" s="1"/>
  <c r="AG43"/>
  <c r="AF43"/>
  <c r="AE43"/>
  <c r="AD43"/>
  <c r="AC43"/>
  <c r="Y43"/>
  <c r="BI41"/>
  <c r="BE41"/>
  <c r="BC41"/>
  <c r="AO41"/>
  <c r="AW41" s="1"/>
  <c r="AN41"/>
  <c r="BG41" s="1"/>
  <c r="AA41" s="1"/>
  <c r="AK41"/>
  <c r="AJ41"/>
  <c r="AI41"/>
  <c r="AG41"/>
  <c r="AF41"/>
  <c r="AE41"/>
  <c r="AD41"/>
  <c r="AC41"/>
  <c r="Y41"/>
  <c r="BI40"/>
  <c r="BE40"/>
  <c r="BC40"/>
  <c r="AW40"/>
  <c r="AO40"/>
  <c r="BH40" s="1"/>
  <c r="AB40" s="1"/>
  <c r="AN40"/>
  <c r="AV40" s="1"/>
  <c r="AK40"/>
  <c r="AJ40"/>
  <c r="AI40"/>
  <c r="AG40"/>
  <c r="AF40"/>
  <c r="AE40"/>
  <c r="AD40"/>
  <c r="AC40"/>
  <c r="Y40"/>
  <c r="BI38"/>
  <c r="BE38"/>
  <c r="BC38"/>
  <c r="AO38"/>
  <c r="AW38" s="1"/>
  <c r="AN38"/>
  <c r="BG38" s="1"/>
  <c r="AA38" s="1"/>
  <c r="AK38"/>
  <c r="AJ38"/>
  <c r="AI38"/>
  <c r="AG38"/>
  <c r="AF38"/>
  <c r="AE38"/>
  <c r="AD38"/>
  <c r="AC38"/>
  <c r="Y38"/>
  <c r="BI37"/>
  <c r="BE37"/>
  <c r="BC37"/>
  <c r="AO37"/>
  <c r="BH37" s="1"/>
  <c r="AB37" s="1"/>
  <c r="AN37"/>
  <c r="AV37" s="1"/>
  <c r="AK37"/>
  <c r="AJ37"/>
  <c r="AI37"/>
  <c r="AG37"/>
  <c r="AF37"/>
  <c r="AE37"/>
  <c r="AD37"/>
  <c r="AC37"/>
  <c r="Y37"/>
  <c r="BI36"/>
  <c r="BE36"/>
  <c r="BC36"/>
  <c r="AO36"/>
  <c r="AW36" s="1"/>
  <c r="AN36"/>
  <c r="H36" s="1"/>
  <c r="AJ36"/>
  <c r="AI36"/>
  <c r="AG36"/>
  <c r="AF36"/>
  <c r="AE36"/>
  <c r="AD36"/>
  <c r="AC36"/>
  <c r="Y36"/>
  <c r="AK36"/>
  <c r="BI35"/>
  <c r="BE35"/>
  <c r="BC35"/>
  <c r="AO35"/>
  <c r="I35" s="1"/>
  <c r="AN35"/>
  <c r="AV35" s="1"/>
  <c r="AJ35"/>
  <c r="AI35"/>
  <c r="AG35"/>
  <c r="AF35"/>
  <c r="AE35"/>
  <c r="AD35"/>
  <c r="AC35"/>
  <c r="Y35"/>
  <c r="AK35"/>
  <c r="BI34"/>
  <c r="BE34"/>
  <c r="BC34"/>
  <c r="AO34"/>
  <c r="AW34" s="1"/>
  <c r="AN34"/>
  <c r="BG34" s="1"/>
  <c r="AA34" s="1"/>
  <c r="AK34"/>
  <c r="AJ34"/>
  <c r="AI34"/>
  <c r="AG34"/>
  <c r="AF34"/>
  <c r="AE34"/>
  <c r="AD34"/>
  <c r="AC34"/>
  <c r="Y34"/>
  <c r="BI33"/>
  <c r="BE33"/>
  <c r="BC33"/>
  <c r="AO33"/>
  <c r="BH33" s="1"/>
  <c r="AB33" s="1"/>
  <c r="AN33"/>
  <c r="AV33" s="1"/>
  <c r="AJ33"/>
  <c r="AI33"/>
  <c r="AG33"/>
  <c r="AF33"/>
  <c r="AE33"/>
  <c r="AD33"/>
  <c r="AC33"/>
  <c r="Y33"/>
  <c r="BI32"/>
  <c r="BE32"/>
  <c r="BC32"/>
  <c r="AO32"/>
  <c r="I32" s="1"/>
  <c r="AN32"/>
  <c r="H32" s="1"/>
  <c r="AJ32"/>
  <c r="AI32"/>
  <c r="AG32"/>
  <c r="AF32"/>
  <c r="AE32"/>
  <c r="AD32"/>
  <c r="AC32"/>
  <c r="Y32"/>
  <c r="BI30"/>
  <c r="BE30"/>
  <c r="BC30"/>
  <c r="AO30"/>
  <c r="BH30" s="1"/>
  <c r="AB30" s="1"/>
  <c r="AN30"/>
  <c r="AV30" s="1"/>
  <c r="AK30"/>
  <c r="AJ30"/>
  <c r="AS28" s="1"/>
  <c r="AI30"/>
  <c r="AG30"/>
  <c r="AF30"/>
  <c r="AE30"/>
  <c r="AD30"/>
  <c r="AC30"/>
  <c r="Y30"/>
  <c r="BI29"/>
  <c r="BE29"/>
  <c r="BC29"/>
  <c r="AO29"/>
  <c r="I29" s="1"/>
  <c r="AN29"/>
  <c r="H29" s="1"/>
  <c r="AJ29"/>
  <c r="AI29"/>
  <c r="AG29"/>
  <c r="AF29"/>
  <c r="AE29"/>
  <c r="AD29"/>
  <c r="AC29"/>
  <c r="Y29"/>
  <c r="BI27"/>
  <c r="BE27"/>
  <c r="BC27"/>
  <c r="AO27"/>
  <c r="BH27" s="1"/>
  <c r="AB27" s="1"/>
  <c r="AN27"/>
  <c r="AV27" s="1"/>
  <c r="AK27"/>
  <c r="AJ27"/>
  <c r="AI27"/>
  <c r="AG27"/>
  <c r="AF27"/>
  <c r="AE27"/>
  <c r="AD27"/>
  <c r="AC27"/>
  <c r="Y27"/>
  <c r="BI26"/>
  <c r="BE26"/>
  <c r="BC26"/>
  <c r="AO26"/>
  <c r="AW26" s="1"/>
  <c r="AN26"/>
  <c r="H26" s="1"/>
  <c r="AJ26"/>
  <c r="AI26"/>
  <c r="AG26"/>
  <c r="AF26"/>
  <c r="AE26"/>
  <c r="AD26"/>
  <c r="AC26"/>
  <c r="Y26"/>
  <c r="AK26"/>
  <c r="BI25"/>
  <c r="BE25"/>
  <c r="BC25"/>
  <c r="AO25"/>
  <c r="I25" s="1"/>
  <c r="AN25"/>
  <c r="BG25" s="1"/>
  <c r="AA25" s="1"/>
  <c r="AJ25"/>
  <c r="AI25"/>
  <c r="AG25"/>
  <c r="AF25"/>
  <c r="AE25"/>
  <c r="AD25"/>
  <c r="AC25"/>
  <c r="Y25"/>
  <c r="BI24"/>
  <c r="BE24"/>
  <c r="BC24"/>
  <c r="AO24"/>
  <c r="BH24" s="1"/>
  <c r="AB24" s="1"/>
  <c r="AN24"/>
  <c r="BG24" s="1"/>
  <c r="AA24" s="1"/>
  <c r="AK24"/>
  <c r="AJ24"/>
  <c r="AI24"/>
  <c r="AG24"/>
  <c r="AF24"/>
  <c r="AE24"/>
  <c r="AD24"/>
  <c r="AC24"/>
  <c r="Y24"/>
  <c r="BI23"/>
  <c r="BE23"/>
  <c r="BC23"/>
  <c r="AO23"/>
  <c r="BH23" s="1"/>
  <c r="AB23" s="1"/>
  <c r="AN23"/>
  <c r="AV23" s="1"/>
  <c r="AK23"/>
  <c r="AJ23"/>
  <c r="AI23"/>
  <c r="AG23"/>
  <c r="AF23"/>
  <c r="AE23"/>
  <c r="AD23"/>
  <c r="AC23"/>
  <c r="Y23"/>
  <c r="BI22"/>
  <c r="BE22"/>
  <c r="BC22"/>
  <c r="AO22"/>
  <c r="AW22" s="1"/>
  <c r="AN22"/>
  <c r="H22" s="1"/>
  <c r="AJ22"/>
  <c r="AI22"/>
  <c r="AG22"/>
  <c r="AF22"/>
  <c r="AE22"/>
  <c r="AD22"/>
  <c r="AC22"/>
  <c r="Y22"/>
  <c r="AK22"/>
  <c r="BI21"/>
  <c r="BE21"/>
  <c r="BC21"/>
  <c r="AV21"/>
  <c r="AO21"/>
  <c r="I21" s="1"/>
  <c r="AN21"/>
  <c r="BG21" s="1"/>
  <c r="AA21" s="1"/>
  <c r="AJ21"/>
  <c r="AI21"/>
  <c r="AG21"/>
  <c r="AF21"/>
  <c r="AE21"/>
  <c r="AD21"/>
  <c r="AC21"/>
  <c r="Y21"/>
  <c r="BI20"/>
  <c r="BE20"/>
  <c r="BC20"/>
  <c r="AO20"/>
  <c r="BH20" s="1"/>
  <c r="AB20" s="1"/>
  <c r="AN20"/>
  <c r="BG20" s="1"/>
  <c r="AA20" s="1"/>
  <c r="AK20"/>
  <c r="AJ20"/>
  <c r="AI20"/>
  <c r="AG20"/>
  <c r="AF20"/>
  <c r="AE20"/>
  <c r="AD20"/>
  <c r="AC20"/>
  <c r="Y20"/>
  <c r="BI18"/>
  <c r="BE18"/>
  <c r="BC18"/>
  <c r="AO18"/>
  <c r="I18" s="1"/>
  <c r="AN18"/>
  <c r="BG18" s="1"/>
  <c r="AA18" s="1"/>
  <c r="AK18"/>
  <c r="AJ18"/>
  <c r="AI18"/>
  <c r="AG18"/>
  <c r="AF18"/>
  <c r="AE18"/>
  <c r="AD18"/>
  <c r="AC18"/>
  <c r="Y18"/>
  <c r="BI17"/>
  <c r="BE17"/>
  <c r="BC17"/>
  <c r="AO17"/>
  <c r="BH17" s="1"/>
  <c r="AB17" s="1"/>
  <c r="AN17"/>
  <c r="BG17" s="1"/>
  <c r="AA17" s="1"/>
  <c r="AK17"/>
  <c r="AJ17"/>
  <c r="AI17"/>
  <c r="AG17"/>
  <c r="AF17"/>
  <c r="AE17"/>
  <c r="AD17"/>
  <c r="AC17"/>
  <c r="Y17"/>
  <c r="BI16"/>
  <c r="BE16"/>
  <c r="BC16"/>
  <c r="AO16"/>
  <c r="BH16" s="1"/>
  <c r="AB16" s="1"/>
  <c r="AN16"/>
  <c r="AV16" s="1"/>
  <c r="AK16"/>
  <c r="AJ16"/>
  <c r="AI16"/>
  <c r="AG16"/>
  <c r="AF16"/>
  <c r="AE16"/>
  <c r="AD16"/>
  <c r="AC16"/>
  <c r="Y16"/>
  <c r="BI15"/>
  <c r="BE15"/>
  <c r="BC15"/>
  <c r="AW15"/>
  <c r="AO15"/>
  <c r="I15" s="1"/>
  <c r="AN15"/>
  <c r="H15" s="1"/>
  <c r="AJ15"/>
  <c r="AI15"/>
  <c r="AG15"/>
  <c r="AF15"/>
  <c r="AE15"/>
  <c r="AD15"/>
  <c r="AC15"/>
  <c r="Y15"/>
  <c r="AK15"/>
  <c r="BI14"/>
  <c r="BE14"/>
  <c r="BC14"/>
  <c r="AV14"/>
  <c r="AO14"/>
  <c r="I14" s="1"/>
  <c r="AN14"/>
  <c r="BG14" s="1"/>
  <c r="AA14" s="1"/>
  <c r="AK14"/>
  <c r="AJ14"/>
  <c r="AI14"/>
  <c r="AG14"/>
  <c r="AF14"/>
  <c r="AE14"/>
  <c r="AD14"/>
  <c r="AC14"/>
  <c r="Y14"/>
  <c r="BI13"/>
  <c r="BE13"/>
  <c r="BC13"/>
  <c r="AO13"/>
  <c r="BH13" s="1"/>
  <c r="AB13" s="1"/>
  <c r="AN13"/>
  <c r="BG13" s="1"/>
  <c r="AA13" s="1"/>
  <c r="AK13"/>
  <c r="AT12" s="1"/>
  <c r="AJ13"/>
  <c r="AI13"/>
  <c r="AG13"/>
  <c r="AF13"/>
  <c r="C19" i="2" s="1"/>
  <c r="AE13" i="1"/>
  <c r="AD13"/>
  <c r="AC13"/>
  <c r="Y13"/>
  <c r="AT1"/>
  <c r="AS1"/>
  <c r="AR1"/>
  <c r="AW13" l="1"/>
  <c r="AV13"/>
  <c r="BB13" s="1"/>
  <c r="J75"/>
  <c r="J66"/>
  <c r="I64"/>
  <c r="J42"/>
  <c r="I40"/>
  <c r="I36"/>
  <c r="J12"/>
  <c r="AV61"/>
  <c r="I84"/>
  <c r="H47"/>
  <c r="I44"/>
  <c r="J31"/>
  <c r="H23"/>
  <c r="AR28"/>
  <c r="AW29"/>
  <c r="AW32"/>
  <c r="AS31"/>
  <c r="AV63"/>
  <c r="AS71"/>
  <c r="AW79"/>
  <c r="AW83"/>
  <c r="J39"/>
  <c r="AR71"/>
  <c r="I88"/>
  <c r="I76"/>
  <c r="H67"/>
  <c r="J62"/>
  <c r="I60"/>
  <c r="J56"/>
  <c r="I48"/>
  <c r="H43"/>
  <c r="H27"/>
  <c r="I24"/>
  <c r="J19"/>
  <c r="J89"/>
  <c r="I80"/>
  <c r="I72"/>
  <c r="I20"/>
  <c r="C16" i="2"/>
  <c r="C20"/>
  <c r="AW20" i="1"/>
  <c r="AK21"/>
  <c r="AW33"/>
  <c r="BB33" s="1"/>
  <c r="AT39"/>
  <c r="AW43"/>
  <c r="AK57"/>
  <c r="AT56" s="1"/>
  <c r="AW72"/>
  <c r="AK73"/>
  <c r="AW80"/>
  <c r="H88"/>
  <c r="I85"/>
  <c r="H84"/>
  <c r="I81"/>
  <c r="H80"/>
  <c r="I77"/>
  <c r="H76"/>
  <c r="I73"/>
  <c r="I69"/>
  <c r="H68"/>
  <c r="H64"/>
  <c r="I61"/>
  <c r="H60"/>
  <c r="I57"/>
  <c r="H52"/>
  <c r="H51" s="1"/>
  <c r="H48"/>
  <c r="H44"/>
  <c r="I41"/>
  <c r="I39" s="1"/>
  <c r="H40"/>
  <c r="I37"/>
  <c r="I33"/>
  <c r="H24"/>
  <c r="H20"/>
  <c r="I17"/>
  <c r="H16"/>
  <c r="I13"/>
  <c r="I12" s="1"/>
  <c r="H55"/>
  <c r="I16"/>
  <c r="AW17"/>
  <c r="AW30"/>
  <c r="BB30" s="1"/>
  <c r="AW37"/>
  <c r="BB37" s="1"/>
  <c r="AR39"/>
  <c r="BB43"/>
  <c r="AW47"/>
  <c r="BB47" s="1"/>
  <c r="BB54"/>
  <c r="AU61"/>
  <c r="AR75"/>
  <c r="AW84"/>
  <c r="AW87"/>
  <c r="I87"/>
  <c r="H86"/>
  <c r="I83"/>
  <c r="H82"/>
  <c r="I79"/>
  <c r="H78"/>
  <c r="H74"/>
  <c r="H70"/>
  <c r="I67"/>
  <c r="I63"/>
  <c r="I62" s="1"/>
  <c r="I59"/>
  <c r="H58"/>
  <c r="H54"/>
  <c r="H53" s="1"/>
  <c r="I47"/>
  <c r="I43"/>
  <c r="H38"/>
  <c r="H34"/>
  <c r="H30"/>
  <c r="H28" s="1"/>
  <c r="I27"/>
  <c r="I23"/>
  <c r="H18"/>
  <c r="H14"/>
  <c r="H35"/>
  <c r="AR12"/>
  <c r="AV18"/>
  <c r="AT19"/>
  <c r="AR31"/>
  <c r="AK33"/>
  <c r="BB40"/>
  <c r="AV64"/>
  <c r="AU64" s="1"/>
  <c r="AV85"/>
  <c r="H85"/>
  <c r="H81"/>
  <c r="H77"/>
  <c r="I74"/>
  <c r="H73"/>
  <c r="H71" s="1"/>
  <c r="I70"/>
  <c r="H65"/>
  <c r="H61"/>
  <c r="H57"/>
  <c r="H56" s="1"/>
  <c r="I54"/>
  <c r="I53" s="1"/>
  <c r="H49"/>
  <c r="H45"/>
  <c r="H41"/>
  <c r="I38"/>
  <c r="H37"/>
  <c r="I34"/>
  <c r="H33"/>
  <c r="I30"/>
  <c r="I28" s="1"/>
  <c r="I26"/>
  <c r="H25"/>
  <c r="I22"/>
  <c r="H21"/>
  <c r="H17"/>
  <c r="H13"/>
  <c r="C18" i="2"/>
  <c r="C28"/>
  <c r="F28" s="1"/>
  <c r="AW16" i="1"/>
  <c r="BB16" s="1"/>
  <c r="AV17"/>
  <c r="AV20"/>
  <c r="AW24"/>
  <c r="AU54"/>
  <c r="AR53"/>
  <c r="AW70"/>
  <c r="AW73"/>
  <c r="AW76"/>
  <c r="BB76" s="1"/>
  <c r="AV84"/>
  <c r="BB84" s="1"/>
  <c r="C17" i="2"/>
  <c r="C27"/>
  <c r="AS19" i="1"/>
  <c r="AR19"/>
  <c r="AW23"/>
  <c r="BB23" s="1"/>
  <c r="AV24"/>
  <c r="AV25"/>
  <c r="AV34"/>
  <c r="AV38"/>
  <c r="AU38" s="1"/>
  <c r="AS39"/>
  <c r="AV41"/>
  <c r="AS42"/>
  <c r="AV44"/>
  <c r="BB44" s="1"/>
  <c r="AV48"/>
  <c r="AW60"/>
  <c r="BB60" s="1"/>
  <c r="AW63"/>
  <c r="AS66"/>
  <c r="AV67"/>
  <c r="AU67" s="1"/>
  <c r="AT66"/>
  <c r="AV70"/>
  <c r="AV73"/>
  <c r="BB73" s="1"/>
  <c r="AV74"/>
  <c r="AS75"/>
  <c r="AV77"/>
  <c r="BB77" s="1"/>
  <c r="AV80"/>
  <c r="BB80" s="1"/>
  <c r="AV81"/>
  <c r="AU85"/>
  <c r="C21" i="2"/>
  <c r="AW27" i="1"/>
  <c r="BB27" s="1"/>
  <c r="AU34"/>
  <c r="AU41"/>
  <c r="AU48"/>
  <c r="AV57"/>
  <c r="BB57" s="1"/>
  <c r="BB61"/>
  <c r="BB63"/>
  <c r="AS62"/>
  <c r="BB64"/>
  <c r="AR66"/>
  <c r="AU74"/>
  <c r="AU81"/>
  <c r="AV82"/>
  <c r="AV88"/>
  <c r="AU57"/>
  <c r="AR56"/>
  <c r="BB34"/>
  <c r="BB41"/>
  <c r="BB74"/>
  <c r="BB81"/>
  <c r="BB85"/>
  <c r="AT42"/>
  <c r="BB48"/>
  <c r="AT62"/>
  <c r="AT75"/>
  <c r="BG22"/>
  <c r="AA22" s="1"/>
  <c r="BG36"/>
  <c r="AA36" s="1"/>
  <c r="BG46"/>
  <c r="AA46" s="1"/>
  <c r="BH49"/>
  <c r="AB49" s="1"/>
  <c r="BG50"/>
  <c r="AA50" s="1"/>
  <c r="BH55"/>
  <c r="AB55" s="1"/>
  <c r="BH58"/>
  <c r="AB58" s="1"/>
  <c r="BG59"/>
  <c r="AA59" s="1"/>
  <c r="BG72"/>
  <c r="AA72" s="1"/>
  <c r="BG79"/>
  <c r="AA79" s="1"/>
  <c r="BG83"/>
  <c r="AA83" s="1"/>
  <c r="BH15"/>
  <c r="AB15" s="1"/>
  <c r="BG16"/>
  <c r="AA16" s="1"/>
  <c r="BH22"/>
  <c r="AB22" s="1"/>
  <c r="BG23"/>
  <c r="AA23" s="1"/>
  <c r="BH26"/>
  <c r="AB26" s="1"/>
  <c r="BG27"/>
  <c r="AA27" s="1"/>
  <c r="BH29"/>
  <c r="AB29" s="1"/>
  <c r="BG30"/>
  <c r="AA30" s="1"/>
  <c r="BH32"/>
  <c r="AB32" s="1"/>
  <c r="BG33"/>
  <c r="AA33" s="1"/>
  <c r="BH36"/>
  <c r="AB36" s="1"/>
  <c r="BG37"/>
  <c r="AA37" s="1"/>
  <c r="BG40"/>
  <c r="AA40" s="1"/>
  <c r="BG43"/>
  <c r="AA43" s="1"/>
  <c r="BH46"/>
  <c r="AB46" s="1"/>
  <c r="BG47"/>
  <c r="AA47" s="1"/>
  <c r="BH50"/>
  <c r="AB50" s="1"/>
  <c r="BH59"/>
  <c r="AB59" s="1"/>
  <c r="BG60"/>
  <c r="AA60" s="1"/>
  <c r="BG63"/>
  <c r="AA63" s="1"/>
  <c r="BG76"/>
  <c r="AA76" s="1"/>
  <c r="AW88"/>
  <c r="BB88" s="1"/>
  <c r="BH14"/>
  <c r="AB14" s="1"/>
  <c r="BG15"/>
  <c r="AA15" s="1"/>
  <c r="BH18"/>
  <c r="AB18" s="1"/>
  <c r="BG26"/>
  <c r="AA26" s="1"/>
  <c r="BG29"/>
  <c r="AA29" s="1"/>
  <c r="BG32"/>
  <c r="AA32" s="1"/>
  <c r="BH35"/>
  <c r="AB35" s="1"/>
  <c r="BH45"/>
  <c r="AB45" s="1"/>
  <c r="BH52"/>
  <c r="AB52" s="1"/>
  <c r="BH65"/>
  <c r="AB65" s="1"/>
  <c r="BH78"/>
  <c r="AB78" s="1"/>
  <c r="AW14"/>
  <c r="AV15"/>
  <c r="AU16"/>
  <c r="AW18"/>
  <c r="AW21"/>
  <c r="AV22"/>
  <c r="AU23"/>
  <c r="AW25"/>
  <c r="AV26"/>
  <c r="AU27"/>
  <c r="AK29"/>
  <c r="AT28" s="1"/>
  <c r="AV29"/>
  <c r="AU30"/>
  <c r="AK32"/>
  <c r="AT31" s="1"/>
  <c r="AV32"/>
  <c r="AU33"/>
  <c r="BH34"/>
  <c r="AB34" s="1"/>
  <c r="AW35"/>
  <c r="BB35" s="1"/>
  <c r="BG35"/>
  <c r="AA35" s="1"/>
  <c r="AV36"/>
  <c r="AU37"/>
  <c r="BH38"/>
  <c r="AB38" s="1"/>
  <c r="AU40"/>
  <c r="BH41"/>
  <c r="AB41" s="1"/>
  <c r="AU43"/>
  <c r="BH44"/>
  <c r="AB44" s="1"/>
  <c r="AW45"/>
  <c r="AU45" s="1"/>
  <c r="BG45"/>
  <c r="AA45" s="1"/>
  <c r="AV46"/>
  <c r="AU47"/>
  <c r="BH48"/>
  <c r="AB48" s="1"/>
  <c r="AW49"/>
  <c r="AU49" s="1"/>
  <c r="BG49"/>
  <c r="AA49" s="1"/>
  <c r="AV50"/>
  <c r="AW52"/>
  <c r="BB52" s="1"/>
  <c r="BG52"/>
  <c r="AA52" s="1"/>
  <c r="BH54"/>
  <c r="AB54" s="1"/>
  <c r="AW55"/>
  <c r="BB55" s="1"/>
  <c r="BG55"/>
  <c r="AA55" s="1"/>
  <c r="BH57"/>
  <c r="AB57" s="1"/>
  <c r="AW58"/>
  <c r="AU58" s="1"/>
  <c r="BG58"/>
  <c r="AA58" s="1"/>
  <c r="AV59"/>
  <c r="AU60"/>
  <c r="BH61"/>
  <c r="AB61" s="1"/>
  <c r="AU63"/>
  <c r="BH64"/>
  <c r="AB64" s="1"/>
  <c r="AW65"/>
  <c r="AU65" s="1"/>
  <c r="BG65"/>
  <c r="AA65" s="1"/>
  <c r="BH67"/>
  <c r="AB67" s="1"/>
  <c r="AW68"/>
  <c r="BB68" s="1"/>
  <c r="BG68"/>
  <c r="AA68" s="1"/>
  <c r="AV69"/>
  <c r="AU70"/>
  <c r="AK72"/>
  <c r="AT71" s="1"/>
  <c r="AV72"/>
  <c r="AU73"/>
  <c r="BH74"/>
  <c r="AB74" s="1"/>
  <c r="AU76"/>
  <c r="BH77"/>
  <c r="AB77" s="1"/>
  <c r="AW78"/>
  <c r="AU78" s="1"/>
  <c r="BG78"/>
  <c r="AA78" s="1"/>
  <c r="AV79"/>
  <c r="AU80"/>
  <c r="BH81"/>
  <c r="AB81" s="1"/>
  <c r="AW82"/>
  <c r="AV83"/>
  <c r="AU84"/>
  <c r="BH85"/>
  <c r="AB85" s="1"/>
  <c r="AW86"/>
  <c r="BB86" s="1"/>
  <c r="BG86"/>
  <c r="AA86" s="1"/>
  <c r="AV87"/>
  <c r="AU88"/>
  <c r="BH21"/>
  <c r="AB21" s="1"/>
  <c r="BH25"/>
  <c r="AB25" s="1"/>
  <c r="BH68"/>
  <c r="AB68" s="1"/>
  <c r="BG69"/>
  <c r="AA69" s="1"/>
  <c r="BH82"/>
  <c r="AB82" s="1"/>
  <c r="BH86"/>
  <c r="AB86" s="1"/>
  <c r="BG87"/>
  <c r="AA87" s="1"/>
  <c r="AS12"/>
  <c r="AU13" l="1"/>
  <c r="BB67"/>
  <c r="BB38"/>
  <c r="AU44"/>
  <c r="H31"/>
  <c r="I31"/>
  <c r="H42"/>
  <c r="H66"/>
  <c r="I75"/>
  <c r="H62"/>
  <c r="H12"/>
  <c r="I42"/>
  <c r="I71"/>
  <c r="C15" i="2"/>
  <c r="I19" i="1"/>
  <c r="C14" i="2"/>
  <c r="I66" i="1"/>
  <c r="I56"/>
  <c r="H19"/>
  <c r="H39"/>
  <c r="H75"/>
  <c r="BB17"/>
  <c r="AU17"/>
  <c r="BB70"/>
  <c r="BB20"/>
  <c r="AU20"/>
  <c r="BB24"/>
  <c r="AU24"/>
  <c r="AU77"/>
  <c r="AU87"/>
  <c r="BB87"/>
  <c r="AU72"/>
  <c r="BB72"/>
  <c r="AU36"/>
  <c r="BB36"/>
  <c r="AU29"/>
  <c r="BB29"/>
  <c r="BB25"/>
  <c r="AU25"/>
  <c r="BB18"/>
  <c r="AU18"/>
  <c r="AU55"/>
  <c r="BB78"/>
  <c r="BB45"/>
  <c r="AU52"/>
  <c r="BB49"/>
  <c r="AU69"/>
  <c r="BB69"/>
  <c r="AU46"/>
  <c r="BB46"/>
  <c r="AU26"/>
  <c r="BB26"/>
  <c r="BB21"/>
  <c r="AU21"/>
  <c r="BB14"/>
  <c r="AU14"/>
  <c r="BB65"/>
  <c r="AU35"/>
  <c r="BB58"/>
  <c r="AU50"/>
  <c r="BB50"/>
  <c r="AU22"/>
  <c r="BB22"/>
  <c r="AU15"/>
  <c r="BB15"/>
  <c r="AU86"/>
  <c r="AU68"/>
  <c r="BB82"/>
  <c r="AU82"/>
  <c r="AU83"/>
  <c r="BB83"/>
  <c r="AU79"/>
  <c r="BB79"/>
  <c r="AU59"/>
  <c r="BB59"/>
  <c r="AU32"/>
  <c r="BB32"/>
  <c r="C22" i="2" l="1"/>
  <c r="H21" i="3" s="1"/>
  <c r="I21" s="1"/>
  <c r="I14" i="2" s="1"/>
  <c r="I22" s="1"/>
  <c r="C29" s="1"/>
  <c r="I27" i="3" l="1"/>
  <c r="F29" s="1"/>
  <c r="F29" i="2"/>
  <c r="I28"/>
  <c r="I29" l="1"/>
</calcChain>
</file>

<file path=xl/sharedStrings.xml><?xml version="1.0" encoding="utf-8"?>
<sst xmlns="http://schemas.openxmlformats.org/spreadsheetml/2006/main" count="1026" uniqueCount="336">
  <si>
    <t>Slepý stavební rozpočet</t>
  </si>
  <si>
    <t>Název stavby:</t>
  </si>
  <si>
    <t>Ořechov - inženýrské sítě pro výstavbu RD</t>
  </si>
  <si>
    <t>Doba výstavby:</t>
  </si>
  <si>
    <t xml:space="preserve"> </t>
  </si>
  <si>
    <t>Objednatel:</t>
  </si>
  <si>
    <t> </t>
  </si>
  <si>
    <t>Druh stavby:</t>
  </si>
  <si>
    <t>SO 01 Komunikace</t>
  </si>
  <si>
    <t>Začátek výstavby:</t>
  </si>
  <si>
    <t>17.07.2025</t>
  </si>
  <si>
    <t>Projektant:</t>
  </si>
  <si>
    <t>Lokalita:</t>
  </si>
  <si>
    <t>Ořechov</t>
  </si>
  <si>
    <t>Konec výstavby:</t>
  </si>
  <si>
    <t>Zhotovitel:</t>
  </si>
  <si>
    <t>JKSO:</t>
  </si>
  <si>
    <t>8222771</t>
  </si>
  <si>
    <t>Zpracováno dne:</t>
  </si>
  <si>
    <t>Zpracoval:</t>
  </si>
  <si>
    <t>Ing. Čapek</t>
  </si>
  <si>
    <t>Č</t>
  </si>
  <si>
    <t>Kód</t>
  </si>
  <si>
    <t>Zkrácený popis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</si>
  <si>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</si>
  <si>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</si>
  <si>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</si>
  <si>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</si>
  <si>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</si>
  <si>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</si>
  <si>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</si>
  <si>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</si>
  <si>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</si>
  <si>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</si>
  <si>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</si>
  <si>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</si>
  <si>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</si>
  <si>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</si>
  <si>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</si>
  <si>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</si>
  <si>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</si>
  <si>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</si>
  <si>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</si>
  <si>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</si>
  <si>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</si>
  <si>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</si>
  <si>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</si>
  <si>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</si>
  <si>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</si>
  <si>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11</t>
  </si>
  <si>
    <t>Přípravné a přidružené práce</t>
  </si>
  <si>
    <t>1</t>
  </si>
  <si>
    <t>112201102R00</t>
  </si>
  <si>
    <t>Odstranění pařezů pod úrovní, o průměru 30 - 50 cm</t>
  </si>
  <si>
    <t>kus</t>
  </si>
  <si>
    <t>11_</t>
  </si>
  <si>
    <t>_</t>
  </si>
  <si>
    <t>P</t>
  </si>
  <si>
    <t>2</t>
  </si>
  <si>
    <t>119001201R00</t>
  </si>
  <si>
    <t>Úprava zemin vápnem, tl. vrstvy 15 - 35 cm</t>
  </si>
  <si>
    <t>m3</t>
  </si>
  <si>
    <t>3</t>
  </si>
  <si>
    <t>58530164.A</t>
  </si>
  <si>
    <t>Vápno bílé nehašené CL 90-Q, Carmeuse, bal. 20 kg</t>
  </si>
  <si>
    <t>t</t>
  </si>
  <si>
    <t>M</t>
  </si>
  <si>
    <t>4</t>
  </si>
  <si>
    <t>112101111R00</t>
  </si>
  <si>
    <t>Kácení stromů listnatých průměru 20 cm, svah 1:5</t>
  </si>
  <si>
    <t>5</t>
  </si>
  <si>
    <t>112101112R00</t>
  </si>
  <si>
    <t>Kácení stromů listnatých průměru 30 cm, svah 1:5</t>
  </si>
  <si>
    <t>6</t>
  </si>
  <si>
    <t>112101114R00</t>
  </si>
  <si>
    <t>Kácení stromů listnatých průměru 50 cm, svah 1:5</t>
  </si>
  <si>
    <t>12</t>
  </si>
  <si>
    <t>Odkopávky a prokopávky</t>
  </si>
  <si>
    <t>7</t>
  </si>
  <si>
    <t>121101101R00</t>
  </si>
  <si>
    <t>Sejmutí ornice s přemístěním do 50 m</t>
  </si>
  <si>
    <t>12_</t>
  </si>
  <si>
    <t>8</t>
  </si>
  <si>
    <t>121101103R00</t>
  </si>
  <si>
    <t>Sejmutí ornice s přemístěním přes 100 do 250 m</t>
  </si>
  <si>
    <t>9</t>
  </si>
  <si>
    <t>122202202R00</t>
  </si>
  <si>
    <t>Odkopávky pro silnice v hor. 3 do 1000 m3</t>
  </si>
  <si>
    <t>10</t>
  </si>
  <si>
    <t>122302202R00</t>
  </si>
  <si>
    <t>Odkopávky pro silnice v hor. 4 do 1000 m3</t>
  </si>
  <si>
    <t>122402202R00</t>
  </si>
  <si>
    <t>Odkopávky pro silnice v hor. 5 do 1000 m3</t>
  </si>
  <si>
    <t>122602212R00</t>
  </si>
  <si>
    <t>Odkop.pro silnice,hor.6,7 do 1000m3, fr.0,10 m3</t>
  </si>
  <si>
    <t>13</t>
  </si>
  <si>
    <t>122201402R00</t>
  </si>
  <si>
    <t>Vykopávky v zemníku v hor. 3 do 1000 m3</t>
  </si>
  <si>
    <t>14</t>
  </si>
  <si>
    <t>162810000VD</t>
  </si>
  <si>
    <t>Nákup vhodného materiálu</t>
  </si>
  <si>
    <t>Hloubené vykopávky</t>
  </si>
  <si>
    <t>15</t>
  </si>
  <si>
    <t>131100010RA0</t>
  </si>
  <si>
    <t>Hloubení nezapažených jam v hornině1-4</t>
  </si>
  <si>
    <t>13_</t>
  </si>
  <si>
    <t>16</t>
  </si>
  <si>
    <t>132200010RA0</t>
  </si>
  <si>
    <t>Hloubení nezapažených rýh šířky do 600 mm v hornině 1-4</t>
  </si>
  <si>
    <t>Přemístění výkopku</t>
  </si>
  <si>
    <t>17</t>
  </si>
  <si>
    <t>162301101R00</t>
  </si>
  <si>
    <t>Vodorovné přemístění výkopku z hor.1-4 do 500 m</t>
  </si>
  <si>
    <t>16_</t>
  </si>
  <si>
    <t>18</t>
  </si>
  <si>
    <t>162701105R00</t>
  </si>
  <si>
    <t>Vodorovné přemístění výkopku z hor.1-4 do 10000 m</t>
  </si>
  <si>
    <t>19</t>
  </si>
  <si>
    <t>167101101R00</t>
  </si>
  <si>
    <t>Nakládání výkopku z hor. 1 ÷ 4 v množství do 100 m3</t>
  </si>
  <si>
    <t>20</t>
  </si>
  <si>
    <t>162201456R00</t>
  </si>
  <si>
    <t>Vod.přemístění větví listnatých, D 50cm  do 3000 m</t>
  </si>
  <si>
    <t>21</t>
  </si>
  <si>
    <t>162201466R00</t>
  </si>
  <si>
    <t>Vod.přemístění kmenů listnatých, D 50cm  do 3000 m</t>
  </si>
  <si>
    <t>22</t>
  </si>
  <si>
    <t>162201476R00</t>
  </si>
  <si>
    <t>Vodorovné přemístění pařezů  D 50 cm do 3000 m</t>
  </si>
  <si>
    <t>23</t>
  </si>
  <si>
    <t>162501102R00</t>
  </si>
  <si>
    <t>Vodorovné přemístění výkopku z hor.1-4 do 3000 m</t>
  </si>
  <si>
    <t>Konstrukce ze zemin</t>
  </si>
  <si>
    <t>24</t>
  </si>
  <si>
    <t>171201201R00</t>
  </si>
  <si>
    <t>Uložení sypaniny na skl.-sypanina na výšku přes 2m</t>
  </si>
  <si>
    <t>17_</t>
  </si>
  <si>
    <t>25</t>
  </si>
  <si>
    <t>171101103R00</t>
  </si>
  <si>
    <t>Uložení sypaniny do násypů zhutněných na 100 % PS</t>
  </si>
  <si>
    <t>Povrchové úpravy terénu</t>
  </si>
  <si>
    <t>26</t>
  </si>
  <si>
    <t>181101102R00</t>
  </si>
  <si>
    <t>Úprava pláně v hor. 1-4, se zhutněním</t>
  </si>
  <si>
    <t>m2</t>
  </si>
  <si>
    <t>18_</t>
  </si>
  <si>
    <t>27</t>
  </si>
  <si>
    <t>181301101R00</t>
  </si>
  <si>
    <t>Rozprostření ornice, rovina, tl. do 10 cm do 500m2</t>
  </si>
  <si>
    <t>28</t>
  </si>
  <si>
    <t>182301121R00</t>
  </si>
  <si>
    <t>Rozprostření ornice, svah, tl. do 10 cm, do 500 m2</t>
  </si>
  <si>
    <t>29</t>
  </si>
  <si>
    <t>180402111R00</t>
  </si>
  <si>
    <t>Založení trávníku parkového výsevem v rovině</t>
  </si>
  <si>
    <t>30</t>
  </si>
  <si>
    <t>180402112R00</t>
  </si>
  <si>
    <t>Založení trávníku parkového výsevem svah do 1:2</t>
  </si>
  <si>
    <t>31</t>
  </si>
  <si>
    <t>00572460</t>
  </si>
  <si>
    <t>Směs travní technická PROFI</t>
  </si>
  <si>
    <t>kg</t>
  </si>
  <si>
    <t>32</t>
  </si>
  <si>
    <t>182101101R00</t>
  </si>
  <si>
    <t>Svahování v zářezech v hor. 1 - 4</t>
  </si>
  <si>
    <t>33</t>
  </si>
  <si>
    <t>181301111R00</t>
  </si>
  <si>
    <t>Rozprostření ornice, rovina, tl.do 10 cm,nad 500m2</t>
  </si>
  <si>
    <t>Úprava podloží a základové spáry</t>
  </si>
  <si>
    <t>34</t>
  </si>
  <si>
    <t>212750010RAB</t>
  </si>
  <si>
    <t>Trativody z drenážních trubek, lože štěrkopískové, obsyp kamenivem, světlost trub 100 mm</t>
  </si>
  <si>
    <t>m</t>
  </si>
  <si>
    <t>21_</t>
  </si>
  <si>
    <t>Zpevňování hornin a konstrukcí</t>
  </si>
  <si>
    <t>35</t>
  </si>
  <si>
    <t>289971211R00</t>
  </si>
  <si>
    <t>Zřízení vrstvy z geotextilie sklon do 1:5 š.do 3 m</t>
  </si>
  <si>
    <t>28_</t>
  </si>
  <si>
    <t>36</t>
  </si>
  <si>
    <t>67352001</t>
  </si>
  <si>
    <t>Geotextilie netkaná PK-Nontex PET 150 g/m2</t>
  </si>
  <si>
    <t>56</t>
  </si>
  <si>
    <t>Podkladní vrstvy komunikací, letišť a ploch</t>
  </si>
  <si>
    <t>37</t>
  </si>
  <si>
    <t>564851111R00</t>
  </si>
  <si>
    <t>Podklad ze štěrkodrti po zhutnění tloušťky 15 cm</t>
  </si>
  <si>
    <t>56_</t>
  </si>
  <si>
    <t>38</t>
  </si>
  <si>
    <t>564861111R00</t>
  </si>
  <si>
    <t>Podklad ze štěrkodrti po zhutnění tloušťky 20 cm</t>
  </si>
  <si>
    <t>39</t>
  </si>
  <si>
    <t>564762111R00</t>
  </si>
  <si>
    <t>Podklad z kam.drceného 32-63 s výplň.kamen. 20 cm</t>
  </si>
  <si>
    <t>40</t>
  </si>
  <si>
    <t>567122114R00</t>
  </si>
  <si>
    <t>Podklad z kameniva zpev.cementem SC C8/10 tl.15 cm</t>
  </si>
  <si>
    <t>41</t>
  </si>
  <si>
    <t>565161211R00</t>
  </si>
  <si>
    <t>Podklad z obal kam.ACP 16+,ACP 22+,nad 3 m,tl.8 cm</t>
  </si>
  <si>
    <t>57</t>
  </si>
  <si>
    <t>Kryty pozemních komunikací, letišť a ploch z kameniva nebo živičné</t>
  </si>
  <si>
    <t>42</t>
  </si>
  <si>
    <t>577132111R00</t>
  </si>
  <si>
    <t>Beton asfalt. ACO 11+ obrusný, š.nad 3 m, tl. 4 cm</t>
  </si>
  <si>
    <t>57_</t>
  </si>
  <si>
    <t>43</t>
  </si>
  <si>
    <t>573231122R00</t>
  </si>
  <si>
    <t>Postřik spojovací z KAE, množství zbytkového asfaltu 0,2 kg/m2</t>
  </si>
  <si>
    <t>44</t>
  </si>
  <si>
    <t>573231125R00</t>
  </si>
  <si>
    <t>Postřik spojovací z KAE, množství zbytkového asfaltu 0,5 kg/m2</t>
  </si>
  <si>
    <t>59</t>
  </si>
  <si>
    <t>Kryty pozemních komunikací, letišť a ploch dlážděných (předlažby)</t>
  </si>
  <si>
    <t>45</t>
  </si>
  <si>
    <t>596215040R00</t>
  </si>
  <si>
    <t>Kladení zámkové dlažby tl. 8 cm do drtě tl. 4 cm</t>
  </si>
  <si>
    <t>59_</t>
  </si>
  <si>
    <t>46</t>
  </si>
  <si>
    <t>592452570</t>
  </si>
  <si>
    <t>Dlažba   vsakovací zatravňovací 210 x210 x 80 mm, 25ks/1m2, přírodní</t>
  </si>
  <si>
    <t>47</t>
  </si>
  <si>
    <t>592451178</t>
  </si>
  <si>
    <t>Dlažba betonová zámková 200 x 100 x 80 mm, přírodní</t>
  </si>
  <si>
    <t>48</t>
  </si>
  <si>
    <t>592452620</t>
  </si>
  <si>
    <t>Dlažba betonová zámková 200 x 200 x 80 mm, přírodní</t>
  </si>
  <si>
    <t>89</t>
  </si>
  <si>
    <t>Ostatní konstrukce a práce na trubním vedení</t>
  </si>
  <si>
    <t>49</t>
  </si>
  <si>
    <t>895941311RT2</t>
  </si>
  <si>
    <t>Zřízení vpusti uliční z dílců typ UVB - 50, včetně dodávky dílců pro uliční vpusti TBV</t>
  </si>
  <si>
    <t>89_</t>
  </si>
  <si>
    <t>50</t>
  </si>
  <si>
    <t>899203111RT3</t>
  </si>
  <si>
    <t>Osazení mříží litinových s rámem do 150kg, včetně dodávky vtokové mříže 500 x 500 mm, D400</t>
  </si>
  <si>
    <t>51</t>
  </si>
  <si>
    <t>55343910</t>
  </si>
  <si>
    <t>Koš kalový pro mříž 500 x 500 mm, pozink v. 600 mm</t>
  </si>
  <si>
    <t>91</t>
  </si>
  <si>
    <t>Doplňující konstrukce a práce na pozemních komunikacích a zpevněných plochách</t>
  </si>
  <si>
    <t>52</t>
  </si>
  <si>
    <t>917862111R00</t>
  </si>
  <si>
    <t>Osazení stojatého obrubníku betonového, s boční opěrou, do lože z betonu C 12/15</t>
  </si>
  <si>
    <t>91_</t>
  </si>
  <si>
    <t>53</t>
  </si>
  <si>
    <t>59217410</t>
  </si>
  <si>
    <t>Obrubník chodníkový   ABO 1000 x 100 x 250 mm</t>
  </si>
  <si>
    <t>54</t>
  </si>
  <si>
    <t>59217480</t>
  </si>
  <si>
    <t>Obrubník silniční přechodový L/P výška 150 - 250 mm, 1000 x 150 mm šedý</t>
  </si>
  <si>
    <t>55</t>
  </si>
  <si>
    <t>59217476</t>
  </si>
  <si>
    <t>Obrubník silniční nájezdový výška 150 mm, 1000 x 150 mm šedý</t>
  </si>
  <si>
    <t>59217450</t>
  </si>
  <si>
    <t>Obrubník silniční   ABO 1000 x 150 x 250 mm</t>
  </si>
  <si>
    <t>918101111R00</t>
  </si>
  <si>
    <t>Lože pod obrubníky nebo obruby dlažeb z C 12/15, nad 10 cm</t>
  </si>
  <si>
    <t>58</t>
  </si>
  <si>
    <t>914001111R00</t>
  </si>
  <si>
    <t>Osazení svislé doprav.značky a sloupku, bet.základ</t>
  </si>
  <si>
    <t>404459511</t>
  </si>
  <si>
    <t>Patka kotevní AP 60/3</t>
  </si>
  <si>
    <t>60</t>
  </si>
  <si>
    <t>40445920</t>
  </si>
  <si>
    <t>Stojan k silničním dopravním značkám jednoduchý</t>
  </si>
  <si>
    <t>61</t>
  </si>
  <si>
    <t>914001125R00</t>
  </si>
  <si>
    <t>Osazení svislé dopr.značky na sloupek nebo konzolu</t>
  </si>
  <si>
    <t>62</t>
  </si>
  <si>
    <t>40445247</t>
  </si>
  <si>
    <t>Značka dopravní informativní provozní IZ 5 a/b, rozměr 1000 x 1500 mm</t>
  </si>
  <si>
    <t>63</t>
  </si>
  <si>
    <t>40445050.A</t>
  </si>
  <si>
    <t>Značka dopravní informativní provozní IP 12, rozměr 500 x 700 mm</t>
  </si>
  <si>
    <t>64</t>
  </si>
  <si>
    <t>998225111R00</t>
  </si>
  <si>
    <t>Přesun hmot, pozemní komunikace, kryt živičný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</si>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</sst>
</file>

<file path=xl/styles.xml><?xml version="1.0" encoding="utf-8"?>
<styleSheet xmlns="http://schemas.openxmlformats.org/spreadsheetml/2006/main">
  <fonts count="10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6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0" fontId="3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0" borderId="19" xfId="0" applyNumberFormat="1" applyFont="1" applyFill="1" applyBorder="1" applyAlignment="1" applyProtection="1">
      <alignment horizontal="center" vertical="center"/>
    </xf>
    <xf numFmtId="0" fontId="2" fillId="0" borderId="20" xfId="0" applyNumberFormat="1" applyFont="1" applyFill="1" applyBorder="1" applyAlignment="1" applyProtection="1">
      <alignment horizontal="center" vertical="center"/>
    </xf>
    <xf numFmtId="0" fontId="3" fillId="2" borderId="22" xfId="0" applyNumberFormat="1" applyFont="1" applyFill="1" applyBorder="1" applyAlignment="1" applyProtection="1">
      <alignment horizontal="left" vertical="center"/>
    </xf>
    <xf numFmtId="0" fontId="2" fillId="2" borderId="23" xfId="0" applyNumberFormat="1" applyFont="1" applyFill="1" applyBorder="1" applyAlignment="1" applyProtection="1">
      <alignment horizontal="left" vertical="center"/>
    </xf>
    <xf numFmtId="0" fontId="3" fillId="2" borderId="23" xfId="0" applyNumberFormat="1" applyFont="1" applyFill="1" applyBorder="1" applyAlignment="1" applyProtection="1">
      <alignment horizontal="left" vertical="center"/>
    </xf>
    <xf numFmtId="4" fontId="2" fillId="2" borderId="23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3" fillId="0" borderId="24" xfId="0" applyNumberFormat="1" applyFont="1" applyFill="1" applyBorder="1" applyAlignment="1" applyProtection="1">
      <alignment horizontal="left" vertical="center"/>
    </xf>
    <xf numFmtId="0" fontId="3" fillId="0" borderId="25" xfId="0" applyNumberFormat="1" applyFont="1" applyFill="1" applyBorder="1" applyAlignment="1" applyProtection="1">
      <alignment horizontal="left" vertical="center"/>
    </xf>
    <xf numFmtId="4" fontId="3" fillId="0" borderId="25" xfId="0" applyNumberFormat="1" applyFont="1" applyFill="1" applyBorder="1" applyAlignment="1" applyProtection="1">
      <alignment horizontal="right" vertical="center"/>
    </xf>
    <xf numFmtId="4" fontId="2" fillId="0" borderId="27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6" fillId="2" borderId="29" xfId="0" applyNumberFormat="1" applyFont="1" applyFill="1" applyBorder="1" applyAlignment="1" applyProtection="1">
      <alignment horizontal="center" vertical="center"/>
    </xf>
    <xf numFmtId="0" fontId="6" fillId="2" borderId="32" xfId="0" applyNumberFormat="1" applyFont="1" applyFill="1" applyBorder="1" applyAlignment="1" applyProtection="1">
      <alignment horizontal="center" vertical="center"/>
    </xf>
    <xf numFmtId="0" fontId="8" fillId="0" borderId="33" xfId="0" applyNumberFormat="1" applyFont="1" applyFill="1" applyBorder="1" applyAlignment="1" applyProtection="1">
      <alignment horizontal="left" vertical="center"/>
    </xf>
    <xf numFmtId="0" fontId="9" fillId="0" borderId="34" xfId="0" applyNumberFormat="1" applyFont="1" applyFill="1" applyBorder="1" applyAlignment="1" applyProtection="1">
      <alignment horizontal="left" vertical="center"/>
    </xf>
    <xf numFmtId="4" fontId="9" fillId="0" borderId="34" xfId="0" applyNumberFormat="1" applyFont="1" applyFill="1" applyBorder="1" applyAlignment="1" applyProtection="1">
      <alignment horizontal="right" vertical="center"/>
    </xf>
    <xf numFmtId="0" fontId="9" fillId="0" borderId="34" xfId="0" applyNumberFormat="1" applyFont="1" applyFill="1" applyBorder="1" applyAlignment="1" applyProtection="1">
      <alignment horizontal="righ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4" fontId="9" fillId="0" borderId="41" xfId="0" applyNumberFormat="1" applyFont="1" applyFill="1" applyBorder="1" applyAlignment="1" applyProtection="1">
      <alignment horizontal="right" vertical="center"/>
    </xf>
    <xf numFmtId="0" fontId="9" fillId="0" borderId="41" xfId="0" applyNumberFormat="1" applyFont="1" applyFill="1" applyBorder="1" applyAlignment="1" applyProtection="1">
      <alignment horizontal="right" vertical="center"/>
    </xf>
    <xf numFmtId="4" fontId="9" fillId="0" borderId="32" xfId="0" applyNumberFormat="1" applyFont="1" applyFill="1" applyBorder="1" applyAlignment="1" applyProtection="1">
      <alignment horizontal="right" vertical="center"/>
    </xf>
    <xf numFmtId="4" fontId="9" fillId="0" borderId="19" xfId="0" applyNumberFormat="1" applyFont="1" applyFill="1" applyBorder="1" applyAlignment="1" applyProtection="1">
      <alignment horizontal="right" vertical="center"/>
    </xf>
    <xf numFmtId="4" fontId="8" fillId="2" borderId="31" xfId="0" applyNumberFormat="1" applyFont="1" applyFill="1" applyBorder="1" applyAlignment="1" applyProtection="1">
      <alignment horizontal="right" vertical="center"/>
    </xf>
    <xf numFmtId="4" fontId="8" fillId="2" borderId="36" xfId="0" applyNumberFormat="1" applyFont="1" applyFill="1" applyBorder="1" applyAlignment="1" applyProtection="1">
      <alignment horizontal="right" vertical="center"/>
    </xf>
    <xf numFmtId="0" fontId="4" fillId="0" borderId="23" xfId="0" applyNumberFormat="1" applyFont="1" applyFill="1" applyBorder="1" applyAlignment="1" applyProtection="1">
      <alignment horizontal="left" vertical="center"/>
    </xf>
    <xf numFmtId="0" fontId="2" fillId="0" borderId="57" xfId="0" applyNumberFormat="1" applyFont="1" applyFill="1" applyBorder="1" applyAlignment="1" applyProtection="1">
      <alignment horizontal="right" vertical="center"/>
    </xf>
    <xf numFmtId="4" fontId="3" fillId="0" borderId="34" xfId="0" applyNumberFormat="1" applyFont="1" applyFill="1" applyBorder="1" applyAlignment="1" applyProtection="1">
      <alignment horizontal="right" vertical="center"/>
    </xf>
    <xf numFmtId="0" fontId="3" fillId="0" borderId="34" xfId="0" applyNumberFormat="1" applyFont="1" applyFill="1" applyBorder="1" applyAlignment="1" applyProtection="1">
      <alignment horizontal="left" vertical="center"/>
    </xf>
    <xf numFmtId="4" fontId="3" fillId="0" borderId="61" xfId="0" applyNumberFormat="1" applyFont="1" applyFill="1" applyBorder="1" applyAlignment="1" applyProtection="1">
      <alignment horizontal="right" vertical="center"/>
    </xf>
    <xf numFmtId="0" fontId="3" fillId="0" borderId="61" xfId="0" applyNumberFormat="1" applyFont="1" applyFill="1" applyBorder="1" applyAlignment="1" applyProtection="1">
      <alignment horizontal="left" vertical="center"/>
    </xf>
    <xf numFmtId="0" fontId="2" fillId="0" borderId="65" xfId="0" applyNumberFormat="1" applyFont="1" applyFill="1" applyBorder="1" applyAlignment="1" applyProtection="1">
      <alignment horizontal="left" vertical="center"/>
    </xf>
    <xf numFmtId="0" fontId="2" fillId="0" borderId="65" xfId="0" applyNumberFormat="1" applyFont="1" applyFill="1" applyBorder="1" applyAlignment="1" applyProtection="1">
      <alignment horizontal="right" vertical="center"/>
    </xf>
    <xf numFmtId="4" fontId="2" fillId="0" borderId="65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3" fillId="0" borderId="25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left" vertical="center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26" xfId="0" applyNumberFormat="1" applyFont="1" applyFill="1" applyBorder="1" applyAlignment="1" applyProtection="1">
      <alignment horizontal="left" vertical="center"/>
    </xf>
    <xf numFmtId="0" fontId="5" fillId="0" borderId="28" xfId="0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Fill="1" applyBorder="1" applyAlignment="1" applyProtection="1">
      <alignment horizontal="left" vertical="center"/>
    </xf>
    <xf numFmtId="0" fontId="7" fillId="0" borderId="31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36" xfId="0" applyNumberFormat="1" applyFont="1" applyFill="1" applyBorder="1" applyAlignment="1" applyProtection="1">
      <alignment horizontal="left" vertical="center"/>
    </xf>
    <xf numFmtId="0" fontId="8" fillId="0" borderId="39" xfId="0" applyNumberFormat="1" applyFont="1" applyFill="1" applyBorder="1" applyAlignment="1" applyProtection="1">
      <alignment horizontal="left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0" borderId="31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0" fontId="9" fillId="0" borderId="36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0" fontId="8" fillId="0" borderId="30" xfId="0" applyNumberFormat="1" applyFont="1" applyFill="1" applyBorder="1" applyAlignment="1" applyProtection="1">
      <alignment horizontal="left" vertical="center"/>
    </xf>
    <xf numFmtId="0" fontId="8" fillId="0" borderId="35" xfId="0" applyNumberFormat="1" applyFont="1" applyFill="1" applyBorder="1" applyAlignment="1" applyProtection="1">
      <alignment horizontal="left" vertical="center"/>
    </xf>
    <xf numFmtId="0" fontId="8" fillId="2" borderId="43" xfId="0" applyNumberFormat="1" applyFont="1" applyFill="1" applyBorder="1" applyAlignment="1" applyProtection="1">
      <alignment horizontal="left" vertical="center"/>
    </xf>
    <xf numFmtId="0" fontId="8" fillId="2" borderId="44" xfId="0" applyNumberFormat="1" applyFont="1" applyFill="1" applyBorder="1" applyAlignment="1" applyProtection="1">
      <alignment horizontal="left" vertical="center"/>
    </xf>
    <xf numFmtId="0" fontId="8" fillId="2" borderId="38" xfId="0" applyNumberFormat="1" applyFont="1" applyFill="1" applyBorder="1" applyAlignment="1" applyProtection="1">
      <alignment horizontal="left" vertical="center"/>
    </xf>
    <xf numFmtId="0" fontId="8" fillId="2" borderId="45" xfId="0" applyNumberFormat="1" applyFont="1" applyFill="1" applyBorder="1" applyAlignment="1" applyProtection="1">
      <alignment horizontal="left" vertical="center"/>
    </xf>
    <xf numFmtId="0" fontId="8" fillId="2" borderId="30" xfId="0" applyNumberFormat="1" applyFont="1" applyFill="1" applyBorder="1" applyAlignment="1" applyProtection="1">
      <alignment horizontal="left" vertical="center"/>
    </xf>
    <xf numFmtId="0" fontId="8" fillId="2" borderId="35" xfId="0" applyNumberFormat="1" applyFont="1" applyFill="1" applyBorder="1" applyAlignment="1" applyProtection="1">
      <alignment horizontal="left" vertical="center"/>
    </xf>
    <xf numFmtId="0" fontId="9" fillId="0" borderId="46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9" fillId="0" borderId="48" xfId="0" applyNumberFormat="1" applyFont="1" applyFill="1" applyBorder="1" applyAlignment="1" applyProtection="1">
      <alignment horizontal="left" vertical="center"/>
    </xf>
    <xf numFmtId="0" fontId="9" fillId="0" borderId="5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51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52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3" fillId="0" borderId="38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36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/>
    </xf>
    <xf numFmtId="0" fontId="3" fillId="0" borderId="60" xfId="0" applyNumberFormat="1" applyFont="1" applyFill="1" applyBorder="1" applyAlignment="1" applyProtection="1">
      <alignment horizontal="left" vertical="center"/>
    </xf>
    <xf numFmtId="0" fontId="2" fillId="0" borderId="62" xfId="0" applyNumberFormat="1" applyFont="1" applyFill="1" applyBorder="1" applyAlignment="1" applyProtection="1">
      <alignment horizontal="left" vertical="center"/>
    </xf>
    <xf numFmtId="0" fontId="2" fillId="0" borderId="63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left" vertical="center"/>
    </xf>
    <xf numFmtId="0" fontId="8" fillId="0" borderId="62" xfId="0" applyNumberFormat="1" applyFont="1" applyFill="1" applyBorder="1" applyAlignment="1" applyProtection="1">
      <alignment horizontal="left" vertical="center"/>
    </xf>
    <xf numFmtId="0" fontId="8" fillId="0" borderId="63" xfId="0" applyNumberFormat="1" applyFont="1" applyFill="1" applyBorder="1" applyAlignment="1" applyProtection="1">
      <alignment horizontal="left" vertical="center"/>
    </xf>
    <xf numFmtId="0" fontId="8" fillId="0" borderId="64" xfId="0" applyNumberFormat="1" applyFont="1" applyFill="1" applyBorder="1" applyAlignment="1" applyProtection="1">
      <alignment horizontal="left" vertical="center"/>
    </xf>
    <xf numFmtId="4" fontId="8" fillId="0" borderId="66" xfId="0" applyNumberFormat="1" applyFont="1" applyFill="1" applyBorder="1" applyAlignment="1" applyProtection="1">
      <alignment horizontal="right" vertical="center"/>
    </xf>
    <xf numFmtId="0" fontId="8" fillId="0" borderId="63" xfId="0" applyNumberFormat="1" applyFont="1" applyFill="1" applyBorder="1" applyAlignment="1" applyProtection="1">
      <alignment horizontal="right" vertical="center"/>
    </xf>
    <xf numFmtId="0" fontId="8" fillId="0" borderId="64" xfId="0" applyNumberFormat="1" applyFont="1" applyFill="1" applyBorder="1" applyAlignment="1" applyProtection="1">
      <alignment horizontal="right" vertical="center"/>
    </xf>
    <xf numFmtId="0" fontId="3" fillId="0" borderId="45" xfId="0" applyNumberFormat="1" applyFont="1" applyFill="1" applyBorder="1" applyAlignment="1" applyProtection="1">
      <alignment horizontal="left" vertical="center" wrapText="1"/>
    </xf>
    <xf numFmtId="0" fontId="2" fillId="2" borderId="49" xfId="0" applyNumberFormat="1" applyFont="1" applyFill="1" applyBorder="1" applyAlignment="1" applyProtection="1">
      <alignment horizontal="left" vertical="center" wrapText="1"/>
    </xf>
    <xf numFmtId="0" fontId="2" fillId="0" borderId="67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57" xfId="0" applyNumberFormat="1" applyFont="1" applyFill="1" applyBorder="1" applyAlignment="1" applyProtection="1">
      <alignment horizontal="center" vertical="center"/>
    </xf>
    <xf numFmtId="0" fontId="2" fillId="0" borderId="68" xfId="0" applyNumberFormat="1" applyFont="1" applyFill="1" applyBorder="1" applyAlignment="1" applyProtection="1">
      <alignment horizontal="left" vertical="center"/>
    </xf>
    <xf numFmtId="0" fontId="2" fillId="0" borderId="14" xfId="0" applyNumberFormat="1" applyFont="1" applyFill="1" applyBorder="1" applyAlignment="1" applyProtection="1">
      <alignment horizontal="left" vertical="center"/>
    </xf>
    <xf numFmtId="0" fontId="3" fillId="0" borderId="59" xfId="0" applyNumberFormat="1" applyFont="1" applyFill="1" applyBorder="1" applyAlignment="1" applyProtection="1">
      <alignment horizontal="left" vertical="center" wrapText="1"/>
    </xf>
    <xf numFmtId="0" fontId="3" fillId="0" borderId="56" xfId="0" applyNumberFormat="1" applyFont="1" applyFill="1" applyBorder="1" applyAlignment="1" applyProtection="1">
      <alignment horizontal="left" vertical="center" wrapText="1"/>
    </xf>
    <xf numFmtId="0" fontId="3" fillId="0" borderId="56" xfId="0" applyNumberFormat="1" applyFont="1" applyFill="1" applyBorder="1" applyAlignment="1" applyProtection="1">
      <alignment horizontal="left" vertical="center"/>
    </xf>
    <xf numFmtId="0" fontId="3" fillId="0" borderId="58" xfId="0" applyNumberFormat="1" applyFont="1" applyFill="1" applyBorder="1" applyAlignment="1" applyProtection="1">
      <alignment horizontal="left" vertical="center" wrapText="1"/>
    </xf>
    <xf numFmtId="0" fontId="3" fillId="0" borderId="67" xfId="0" applyNumberFormat="1" applyFont="1" applyFill="1" applyBorder="1" applyAlignment="1" applyProtection="1">
      <alignment horizontal="left" vertical="center" wrapText="1"/>
    </xf>
    <xf numFmtId="0" fontId="2" fillId="0" borderId="59" xfId="0" applyNumberFormat="1" applyFont="1" applyFill="1" applyBorder="1" applyAlignment="1" applyProtection="1">
      <alignment horizontal="left" vertical="center" wrapText="1"/>
    </xf>
    <xf numFmtId="0" fontId="1" fillId="0" borderId="45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0" name="Obrázek 4294967295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91"/>
  <sheetViews>
    <sheetView tabSelected="1" workbookViewId="0">
      <pane ySplit="11" topLeftCell="A12" activePane="bottomLeft" state="frozen"/>
      <selection pane="bottomLeft" activeCell="N15" sqref="N15"/>
    </sheetView>
  </sheetViews>
  <sheetFormatPr defaultColWidth="12.140625" defaultRowHeight="15" customHeight="1"/>
  <cols>
    <col min="1" max="1" width="4" customWidth="1"/>
    <col min="2" max="2" width="17.85546875" customWidth="1"/>
    <col min="3" max="3" width="42.85546875" customWidth="1"/>
    <col min="4" max="4" width="13" customWidth="1"/>
    <col min="5" max="5" width="4.28515625" customWidth="1"/>
    <col min="6" max="6" width="12.85546875" customWidth="1"/>
    <col min="7" max="7" width="12" customWidth="1"/>
    <col min="8" max="10" width="15.7109375" customWidth="1"/>
    <col min="24" max="74" width="12.140625" hidden="1"/>
    <col min="75" max="75" width="78.5703125" hidden="1" customWidth="1"/>
    <col min="76" max="77" width="12.140625" hidden="1"/>
  </cols>
  <sheetData>
    <row r="1" spans="1:75" ht="54.75" customHeight="1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AR1" s="1">
        <f>SUM(AI1:AI2)</f>
        <v>0</v>
      </c>
      <c r="AS1" s="1">
        <f>SUM(AJ1:AJ2)</f>
        <v>0</v>
      </c>
      <c r="AT1" s="1">
        <f>SUM(AK1:AK2)</f>
        <v>0</v>
      </c>
    </row>
    <row r="2" spans="1:75" ht="15" customHeight="1">
      <c r="A2" s="54" t="s">
        <v>1</v>
      </c>
      <c r="B2" s="59"/>
      <c r="C2" s="61" t="s">
        <v>2</v>
      </c>
      <c r="D2" s="61"/>
      <c r="E2" s="55" t="s">
        <v>3</v>
      </c>
      <c r="F2" s="55"/>
      <c r="G2" s="55" t="s">
        <v>4</v>
      </c>
      <c r="H2" s="59" t="s">
        <v>5</v>
      </c>
      <c r="I2" s="55" t="s">
        <v>6</v>
      </c>
      <c r="J2" s="55"/>
    </row>
    <row r="3" spans="1:75">
      <c r="A3" s="137"/>
      <c r="B3" s="134"/>
      <c r="C3" s="139"/>
      <c r="D3" s="139"/>
      <c r="E3" s="116"/>
      <c r="F3" s="116"/>
      <c r="G3" s="116"/>
      <c r="H3" s="134"/>
      <c r="I3" s="116"/>
      <c r="J3" s="116"/>
    </row>
    <row r="4" spans="1:75" ht="15" customHeight="1">
      <c r="A4" s="137" t="s">
        <v>7</v>
      </c>
      <c r="B4" s="134"/>
      <c r="C4" s="60" t="s">
        <v>8</v>
      </c>
      <c r="D4" s="60"/>
      <c r="E4" s="57" t="s">
        <v>9</v>
      </c>
      <c r="F4" s="57"/>
      <c r="G4" s="57" t="s">
        <v>4</v>
      </c>
      <c r="H4" s="60" t="s">
        <v>11</v>
      </c>
      <c r="I4" s="116" t="s">
        <v>6</v>
      </c>
      <c r="J4" s="116"/>
    </row>
    <row r="5" spans="1:75">
      <c r="A5" s="137"/>
      <c r="B5" s="134"/>
      <c r="C5" s="60"/>
      <c r="D5" s="60"/>
      <c r="E5" s="57"/>
      <c r="F5" s="57"/>
      <c r="G5" s="57"/>
      <c r="H5" s="60"/>
      <c r="I5" s="116"/>
      <c r="J5" s="116"/>
    </row>
    <row r="6" spans="1:75" ht="15" customHeight="1">
      <c r="A6" s="137" t="s">
        <v>12</v>
      </c>
      <c r="B6" s="134"/>
      <c r="C6" s="60" t="s">
        <v>13</v>
      </c>
      <c r="D6" s="60"/>
      <c r="E6" s="57" t="s">
        <v>14</v>
      </c>
      <c r="F6" s="57"/>
      <c r="G6" s="57" t="s">
        <v>4</v>
      </c>
      <c r="H6" s="60" t="s">
        <v>15</v>
      </c>
      <c r="I6" s="116" t="s">
        <v>6</v>
      </c>
      <c r="J6" s="116"/>
    </row>
    <row r="7" spans="1:75">
      <c r="A7" s="137"/>
      <c r="B7" s="134"/>
      <c r="C7" s="60"/>
      <c r="D7" s="60"/>
      <c r="E7" s="57"/>
      <c r="F7" s="57"/>
      <c r="G7" s="57"/>
      <c r="H7" s="60"/>
      <c r="I7" s="116"/>
      <c r="J7" s="116"/>
    </row>
    <row r="8" spans="1:75" ht="15" customHeight="1">
      <c r="A8" s="137" t="s">
        <v>16</v>
      </c>
      <c r="B8" s="134"/>
      <c r="C8" s="134" t="s">
        <v>17</v>
      </c>
      <c r="D8" s="134"/>
      <c r="E8" s="116" t="s">
        <v>18</v>
      </c>
      <c r="F8" s="116"/>
      <c r="G8" s="116" t="s">
        <v>10</v>
      </c>
      <c r="H8" s="134" t="s">
        <v>19</v>
      </c>
      <c r="I8" s="134" t="s">
        <v>20</v>
      </c>
      <c r="J8" s="134"/>
    </row>
    <row r="9" spans="1:75" ht="15.75" thickBot="1">
      <c r="A9" s="138"/>
      <c r="B9" s="135"/>
      <c r="C9" s="135"/>
      <c r="D9" s="135"/>
      <c r="E9" s="136"/>
      <c r="F9" s="136"/>
      <c r="G9" s="136"/>
      <c r="H9" s="135"/>
      <c r="I9" s="135"/>
      <c r="J9" s="135"/>
    </row>
    <row r="10" spans="1:75" ht="35.1" customHeight="1">
      <c r="A10" s="5" t="s">
        <v>21</v>
      </c>
      <c r="B10" s="6" t="s">
        <v>22</v>
      </c>
      <c r="C10" s="132" t="s">
        <v>23</v>
      </c>
      <c r="D10" s="133"/>
      <c r="E10" s="6" t="s">
        <v>24</v>
      </c>
      <c r="F10" s="7" t="s">
        <v>25</v>
      </c>
      <c r="G10" s="8" t="s">
        <v>26</v>
      </c>
      <c r="H10" s="66" t="s">
        <v>27</v>
      </c>
      <c r="I10" s="67"/>
      <c r="J10" s="131"/>
      <c r="BJ10" s="9" t="s">
        <v>28</v>
      </c>
      <c r="BK10" s="10" t="s">
        <v>29</v>
      </c>
      <c r="BV10" s="10" t="s">
        <v>30</v>
      </c>
    </row>
    <row r="11" spans="1:75" ht="35.1" customHeight="1" thickBot="1">
      <c r="A11" s="11" t="s">
        <v>4</v>
      </c>
      <c r="B11" s="12" t="s">
        <v>4</v>
      </c>
      <c r="C11" s="129" t="s">
        <v>31</v>
      </c>
      <c r="D11" s="130"/>
      <c r="E11" s="12" t="s">
        <v>4</v>
      </c>
      <c r="F11" s="12" t="s">
        <v>4</v>
      </c>
      <c r="G11" s="13" t="s">
        <v>32</v>
      </c>
      <c r="H11" s="14" t="s">
        <v>33</v>
      </c>
      <c r="I11" s="15" t="s">
        <v>34</v>
      </c>
      <c r="J11" s="16" t="s">
        <v>35</v>
      </c>
      <c r="Y11" s="9" t="s">
        <v>36</v>
      </c>
      <c r="Z11" s="9" t="s">
        <v>37</v>
      </c>
      <c r="AA11" s="9" t="s">
        <v>38</v>
      </c>
      <c r="AB11" s="9" t="s">
        <v>39</v>
      </c>
      <c r="AC11" s="9" t="s">
        <v>40</v>
      </c>
      <c r="AD11" s="9" t="s">
        <v>41</v>
      </c>
      <c r="AE11" s="9" t="s">
        <v>42</v>
      </c>
      <c r="AF11" s="9" t="s">
        <v>43</v>
      </c>
      <c r="AG11" s="9" t="s">
        <v>44</v>
      </c>
      <c r="BG11" s="9" t="s">
        <v>45</v>
      </c>
      <c r="BH11" s="9" t="s">
        <v>46</v>
      </c>
      <c r="BI11" s="9" t="s">
        <v>47</v>
      </c>
    </row>
    <row r="12" spans="1:75" ht="35.1" customHeight="1">
      <c r="A12" s="17" t="s">
        <v>48</v>
      </c>
      <c r="B12" s="18" t="s">
        <v>49</v>
      </c>
      <c r="C12" s="128" t="s">
        <v>50</v>
      </c>
      <c r="D12" s="128"/>
      <c r="E12" s="19" t="s">
        <v>4</v>
      </c>
      <c r="F12" s="19" t="s">
        <v>4</v>
      </c>
      <c r="G12" s="19" t="s">
        <v>4</v>
      </c>
      <c r="H12" s="20">
        <f>ROUND(SUM(H13:H18),2)</f>
        <v>0</v>
      </c>
      <c r="I12" s="20">
        <f>ROUND(SUM(I13:I18),2)</f>
        <v>0</v>
      </c>
      <c r="J12" s="20">
        <f>ROUND(SUM(J13:J18),2)</f>
        <v>0</v>
      </c>
      <c r="AH12" s="9" t="s">
        <v>48</v>
      </c>
      <c r="AR12" s="1">
        <f>SUM(AI13:AI18)</f>
        <v>0</v>
      </c>
      <c r="AS12" s="1">
        <f>SUM(AJ13:AJ18)</f>
        <v>0</v>
      </c>
      <c r="AT12" s="1">
        <f>SUM(AK13:AK18)</f>
        <v>0</v>
      </c>
    </row>
    <row r="13" spans="1:75" ht="35.1" customHeight="1">
      <c r="A13" s="2" t="s">
        <v>51</v>
      </c>
      <c r="B13" s="3" t="s">
        <v>52</v>
      </c>
      <c r="C13" s="60" t="s">
        <v>53</v>
      </c>
      <c r="D13" s="60"/>
      <c r="E13" s="3" t="s">
        <v>54</v>
      </c>
      <c r="F13" s="21">
        <v>6</v>
      </c>
      <c r="G13" s="21">
        <v>0</v>
      </c>
      <c r="H13" s="21">
        <f>ROUND(F13*AN13,2)</f>
        <v>0</v>
      </c>
      <c r="I13" s="21">
        <f>ROUND(F13*AO13,2)</f>
        <v>0</v>
      </c>
      <c r="J13" s="21">
        <f t="shared" ref="J13:J18" si="0">ROUND(F13*G13,2)</f>
        <v>0</v>
      </c>
      <c r="Y13" s="21">
        <f t="shared" ref="Y13:Y18" si="1">ROUND(IF(AP13="5",BI13,0),2)</f>
        <v>0</v>
      </c>
      <c r="AA13" s="21">
        <f t="shared" ref="AA13:AA18" si="2">ROUND(IF(AP13="1",BG13,0),2)</f>
        <v>0</v>
      </c>
      <c r="AB13" s="21">
        <f t="shared" ref="AB13:AB18" si="3">ROUND(IF(AP13="1",BH13,0),2)</f>
        <v>0</v>
      </c>
      <c r="AC13" s="21">
        <f t="shared" ref="AC13:AC18" si="4">ROUND(IF(AP13="7",BG13,0),2)</f>
        <v>0</v>
      </c>
      <c r="AD13" s="21">
        <f t="shared" ref="AD13:AD18" si="5">ROUND(IF(AP13="7",BH13,0),2)</f>
        <v>0</v>
      </c>
      <c r="AE13" s="21">
        <f t="shared" ref="AE13:AE18" si="6">ROUND(IF(AP13="2",BG13,0),2)</f>
        <v>0</v>
      </c>
      <c r="AF13" s="21">
        <f t="shared" ref="AF13:AF18" si="7">ROUND(IF(AP13="2",BH13,0),2)</f>
        <v>0</v>
      </c>
      <c r="AG13" s="21">
        <f t="shared" ref="AG13:AG18" si="8">ROUND(IF(AP13="0",BI13,0),2)</f>
        <v>0</v>
      </c>
      <c r="AH13" s="9" t="s">
        <v>48</v>
      </c>
      <c r="AI13" s="21">
        <f>IF(AM13=0,J13,0)</f>
        <v>0</v>
      </c>
      <c r="AJ13" s="21">
        <f>IF(AM13=15,J13,0)</f>
        <v>0</v>
      </c>
      <c r="AK13" s="21">
        <f>IF(AM13=21,J13,0)</f>
        <v>0</v>
      </c>
      <c r="AM13" s="21">
        <v>21</v>
      </c>
      <c r="AN13" s="21">
        <f>G13*0.002236453</f>
        <v>0</v>
      </c>
      <c r="AO13" s="21">
        <f>G13*(1-0.002236453)</f>
        <v>0</v>
      </c>
      <c r="AP13" s="22" t="s">
        <v>51</v>
      </c>
      <c r="AU13" s="21">
        <f t="shared" ref="AU13:AU18" si="9">ROUND(AV13+AW13,2)</f>
        <v>0</v>
      </c>
      <c r="AV13" s="21">
        <f>ROUND(F13*AN13,2)</f>
        <v>0</v>
      </c>
      <c r="AW13" s="21">
        <f>ROUND(F13*AO13,2)</f>
        <v>0</v>
      </c>
      <c r="AX13" s="22" t="s">
        <v>55</v>
      </c>
      <c r="AY13" s="22" t="s">
        <v>55</v>
      </c>
      <c r="AZ13" s="9" t="s">
        <v>56</v>
      </c>
      <c r="BB13" s="21">
        <f t="shared" ref="BB13:BB18" si="10">AV13+AW13</f>
        <v>0</v>
      </c>
      <c r="BC13" s="21">
        <f>G13/(100-BD13)*100</f>
        <v>0</v>
      </c>
      <c r="BD13" s="21">
        <v>0</v>
      </c>
      <c r="BE13" s="21">
        <f>13</f>
        <v>13</v>
      </c>
      <c r="BG13" s="21">
        <f>F13*AN13</f>
        <v>0</v>
      </c>
      <c r="BH13" s="21">
        <f>F13*AO13</f>
        <v>0</v>
      </c>
      <c r="BI13" s="21">
        <f>F13*G13</f>
        <v>0</v>
      </c>
      <c r="BJ13" s="22" t="s">
        <v>57</v>
      </c>
      <c r="BK13" s="21">
        <v>11</v>
      </c>
      <c r="BV13" s="21">
        <v>21</v>
      </c>
      <c r="BW13" s="4" t="s">
        <v>53</v>
      </c>
    </row>
    <row r="14" spans="1:75" ht="35.1" customHeight="1">
      <c r="A14" s="2" t="s">
        <v>58</v>
      </c>
      <c r="B14" s="3" t="s">
        <v>59</v>
      </c>
      <c r="C14" s="60" t="s">
        <v>60</v>
      </c>
      <c r="D14" s="60"/>
      <c r="E14" s="3" t="s">
        <v>61</v>
      </c>
      <c r="F14" s="21">
        <v>869.01</v>
      </c>
      <c r="G14" s="21">
        <v>0</v>
      </c>
      <c r="H14" s="21">
        <f>ROUND(F14*AN14,2)</f>
        <v>0</v>
      </c>
      <c r="I14" s="21">
        <f>ROUND(F14*AO14,2)</f>
        <v>0</v>
      </c>
      <c r="J14" s="21">
        <f t="shared" si="0"/>
        <v>0</v>
      </c>
      <c r="Y14" s="21">
        <f t="shared" si="1"/>
        <v>0</v>
      </c>
      <c r="AA14" s="21">
        <f t="shared" si="2"/>
        <v>0</v>
      </c>
      <c r="AB14" s="21">
        <f t="shared" si="3"/>
        <v>0</v>
      </c>
      <c r="AC14" s="21">
        <f t="shared" si="4"/>
        <v>0</v>
      </c>
      <c r="AD14" s="21">
        <f t="shared" si="5"/>
        <v>0</v>
      </c>
      <c r="AE14" s="21">
        <f t="shared" si="6"/>
        <v>0</v>
      </c>
      <c r="AF14" s="21">
        <f t="shared" si="7"/>
        <v>0</v>
      </c>
      <c r="AG14" s="21">
        <f t="shared" si="8"/>
        <v>0</v>
      </c>
      <c r="AH14" s="9" t="s">
        <v>48</v>
      </c>
      <c r="AI14" s="21">
        <f>IF(AM14=0,J14,0)</f>
        <v>0</v>
      </c>
      <c r="AJ14" s="21">
        <f>IF(AM14=15,J14,0)</f>
        <v>0</v>
      </c>
      <c r="AK14" s="21">
        <f>IF(AM14=21,J14,0)</f>
        <v>0</v>
      </c>
      <c r="AM14" s="21">
        <v>21</v>
      </c>
      <c r="AN14" s="21">
        <f>G14*0</f>
        <v>0</v>
      </c>
      <c r="AO14" s="21">
        <f>G14*(1-0)</f>
        <v>0</v>
      </c>
      <c r="AP14" s="22" t="s">
        <v>51</v>
      </c>
      <c r="AU14" s="21">
        <f t="shared" si="9"/>
        <v>0</v>
      </c>
      <c r="AV14" s="21">
        <f>ROUND(F14*AN14,2)</f>
        <v>0</v>
      </c>
      <c r="AW14" s="21">
        <f>ROUND(F14*AO14,2)</f>
        <v>0</v>
      </c>
      <c r="AX14" s="22" t="s">
        <v>55</v>
      </c>
      <c r="AY14" s="22" t="s">
        <v>55</v>
      </c>
      <c r="AZ14" s="9" t="s">
        <v>56</v>
      </c>
      <c r="BB14" s="21">
        <f t="shared" si="10"/>
        <v>0</v>
      </c>
      <c r="BC14" s="21">
        <f>G14/(100-BD14)*100</f>
        <v>0</v>
      </c>
      <c r="BD14" s="21">
        <v>0</v>
      </c>
      <c r="BE14" s="21">
        <f>14</f>
        <v>14</v>
      </c>
      <c r="BG14" s="21">
        <f>F14*AN14</f>
        <v>0</v>
      </c>
      <c r="BH14" s="21">
        <f>F14*AO14</f>
        <v>0</v>
      </c>
      <c r="BI14" s="21">
        <f>F14*G14</f>
        <v>0</v>
      </c>
      <c r="BJ14" s="22" t="s">
        <v>57</v>
      </c>
      <c r="BK14" s="21">
        <v>11</v>
      </c>
      <c r="BV14" s="21">
        <v>21</v>
      </c>
      <c r="BW14" s="4" t="s">
        <v>60</v>
      </c>
    </row>
    <row r="15" spans="1:75" ht="35.1" customHeight="1">
      <c r="A15" s="2" t="s">
        <v>62</v>
      </c>
      <c r="B15" s="3" t="s">
        <v>63</v>
      </c>
      <c r="C15" s="60" t="s">
        <v>64</v>
      </c>
      <c r="D15" s="60"/>
      <c r="E15" s="3" t="s">
        <v>65</v>
      </c>
      <c r="F15" s="21">
        <v>39.1</v>
      </c>
      <c r="G15" s="21">
        <v>0</v>
      </c>
      <c r="H15" s="21">
        <f>ROUND(F15*AN15,2)</f>
        <v>0</v>
      </c>
      <c r="I15" s="21">
        <f>ROUND(F15*AO15,2)</f>
        <v>0</v>
      </c>
      <c r="J15" s="21">
        <f t="shared" si="0"/>
        <v>0</v>
      </c>
      <c r="Y15" s="21">
        <f t="shared" si="1"/>
        <v>0</v>
      </c>
      <c r="AA15" s="21">
        <f t="shared" si="2"/>
        <v>0</v>
      </c>
      <c r="AB15" s="21">
        <f t="shared" si="3"/>
        <v>0</v>
      </c>
      <c r="AC15" s="21">
        <f t="shared" si="4"/>
        <v>0</v>
      </c>
      <c r="AD15" s="21">
        <f t="shared" si="5"/>
        <v>0</v>
      </c>
      <c r="AE15" s="21">
        <f t="shared" si="6"/>
        <v>0</v>
      </c>
      <c r="AF15" s="21">
        <f t="shared" si="7"/>
        <v>0</v>
      </c>
      <c r="AG15" s="21">
        <f t="shared" si="8"/>
        <v>0</v>
      </c>
      <c r="AH15" s="9" t="s">
        <v>48</v>
      </c>
      <c r="AI15" s="21">
        <f>IF(AM15=0,J15,0)</f>
        <v>0</v>
      </c>
      <c r="AJ15" s="21">
        <f>IF(AM15=15,J15,0)</f>
        <v>0</v>
      </c>
      <c r="AK15" s="21">
        <f>IF(AM15=21,J15,0)</f>
        <v>0</v>
      </c>
      <c r="AM15" s="21">
        <v>21</v>
      </c>
      <c r="AN15" s="21">
        <f>G15*1</f>
        <v>0</v>
      </c>
      <c r="AO15" s="21">
        <f>G15*(1-1)</f>
        <v>0</v>
      </c>
      <c r="AP15" s="22" t="s">
        <v>51</v>
      </c>
      <c r="AU15" s="21">
        <f t="shared" si="9"/>
        <v>0</v>
      </c>
      <c r="AV15" s="21">
        <f>ROUND(F15*AN15,2)</f>
        <v>0</v>
      </c>
      <c r="AW15" s="21">
        <f>ROUND(F15*AO15,2)</f>
        <v>0</v>
      </c>
      <c r="AX15" s="22" t="s">
        <v>55</v>
      </c>
      <c r="AY15" s="22" t="s">
        <v>55</v>
      </c>
      <c r="AZ15" s="9" t="s">
        <v>56</v>
      </c>
      <c r="BB15" s="21">
        <f t="shared" si="10"/>
        <v>0</v>
      </c>
      <c r="BC15" s="21">
        <f>G15/(100-BD15)*100</f>
        <v>0</v>
      </c>
      <c r="BD15" s="21">
        <v>0</v>
      </c>
      <c r="BE15" s="21">
        <f>15</f>
        <v>15</v>
      </c>
      <c r="BG15" s="21">
        <f>F15*AN15</f>
        <v>0</v>
      </c>
      <c r="BH15" s="21">
        <f>F15*AO15</f>
        <v>0</v>
      </c>
      <c r="BI15" s="21">
        <f>F15*G15</f>
        <v>0</v>
      </c>
      <c r="BJ15" s="22" t="s">
        <v>66</v>
      </c>
      <c r="BK15" s="21">
        <v>11</v>
      </c>
      <c r="BV15" s="21">
        <v>21</v>
      </c>
      <c r="BW15" s="4" t="s">
        <v>64</v>
      </c>
    </row>
    <row r="16" spans="1:75" ht="35.1" customHeight="1">
      <c r="A16" s="2" t="s">
        <v>67</v>
      </c>
      <c r="B16" s="3" t="s">
        <v>68</v>
      </c>
      <c r="C16" s="60" t="s">
        <v>69</v>
      </c>
      <c r="D16" s="60"/>
      <c r="E16" s="3" t="s">
        <v>54</v>
      </c>
      <c r="F16" s="21">
        <v>47</v>
      </c>
      <c r="G16" s="21">
        <v>0</v>
      </c>
      <c r="H16" s="21">
        <f>ROUND(F16*AN16,2)</f>
        <v>0</v>
      </c>
      <c r="I16" s="21">
        <f>ROUND(F16*AO16,2)</f>
        <v>0</v>
      </c>
      <c r="J16" s="21">
        <f t="shared" si="0"/>
        <v>0</v>
      </c>
      <c r="Y16" s="21">
        <f t="shared" si="1"/>
        <v>0</v>
      </c>
      <c r="AA16" s="21">
        <f t="shared" si="2"/>
        <v>0</v>
      </c>
      <c r="AB16" s="21">
        <f t="shared" si="3"/>
        <v>0</v>
      </c>
      <c r="AC16" s="21">
        <f t="shared" si="4"/>
        <v>0</v>
      </c>
      <c r="AD16" s="21">
        <f t="shared" si="5"/>
        <v>0</v>
      </c>
      <c r="AE16" s="21">
        <f t="shared" si="6"/>
        <v>0</v>
      </c>
      <c r="AF16" s="21">
        <f t="shared" si="7"/>
        <v>0</v>
      </c>
      <c r="AG16" s="21">
        <f t="shared" si="8"/>
        <v>0</v>
      </c>
      <c r="AH16" s="9" t="s">
        <v>48</v>
      </c>
      <c r="AI16" s="21">
        <f>IF(AM16=0,J16,0)</f>
        <v>0</v>
      </c>
      <c r="AJ16" s="21">
        <f>IF(AM16=15,J16,0)</f>
        <v>0</v>
      </c>
      <c r="AK16" s="21">
        <f>IF(AM16=21,J16,0)</f>
        <v>0</v>
      </c>
      <c r="AM16" s="21">
        <v>21</v>
      </c>
      <c r="AN16" s="21">
        <f>G16*0</f>
        <v>0</v>
      </c>
      <c r="AO16" s="21">
        <f>G16*(1-0)</f>
        <v>0</v>
      </c>
      <c r="AP16" s="22" t="s">
        <v>51</v>
      </c>
      <c r="AU16" s="21">
        <f t="shared" si="9"/>
        <v>0</v>
      </c>
      <c r="AV16" s="21">
        <f>ROUND(F16*AN16,2)</f>
        <v>0</v>
      </c>
      <c r="AW16" s="21">
        <f>ROUND(F16*AO16,2)</f>
        <v>0</v>
      </c>
      <c r="AX16" s="22" t="s">
        <v>55</v>
      </c>
      <c r="AY16" s="22" t="s">
        <v>55</v>
      </c>
      <c r="AZ16" s="9" t="s">
        <v>56</v>
      </c>
      <c r="BB16" s="21">
        <f t="shared" si="10"/>
        <v>0</v>
      </c>
      <c r="BC16" s="21">
        <f>G16/(100-BD16)*100</f>
        <v>0</v>
      </c>
      <c r="BD16" s="21">
        <v>0</v>
      </c>
      <c r="BE16" s="21">
        <f>16</f>
        <v>16</v>
      </c>
      <c r="BG16" s="21">
        <f>F16*AN16</f>
        <v>0</v>
      </c>
      <c r="BH16" s="21">
        <f>F16*AO16</f>
        <v>0</v>
      </c>
      <c r="BI16" s="21">
        <f>F16*G16</f>
        <v>0</v>
      </c>
      <c r="BJ16" s="22" t="s">
        <v>57</v>
      </c>
      <c r="BK16" s="21">
        <v>11</v>
      </c>
      <c r="BV16" s="21">
        <v>21</v>
      </c>
      <c r="BW16" s="4" t="s">
        <v>69</v>
      </c>
    </row>
    <row r="17" spans="1:75" ht="35.1" customHeight="1">
      <c r="A17" s="2" t="s">
        <v>70</v>
      </c>
      <c r="B17" s="3" t="s">
        <v>71</v>
      </c>
      <c r="C17" s="60" t="s">
        <v>72</v>
      </c>
      <c r="D17" s="60"/>
      <c r="E17" s="3" t="s">
        <v>54</v>
      </c>
      <c r="F17" s="21">
        <v>5</v>
      </c>
      <c r="G17" s="21">
        <v>0</v>
      </c>
      <c r="H17" s="21">
        <f>ROUND(F17*AN17,2)</f>
        <v>0</v>
      </c>
      <c r="I17" s="21">
        <f>ROUND(F17*AO17,2)</f>
        <v>0</v>
      </c>
      <c r="J17" s="21">
        <f t="shared" si="0"/>
        <v>0</v>
      </c>
      <c r="Y17" s="21">
        <f t="shared" si="1"/>
        <v>0</v>
      </c>
      <c r="AA17" s="21">
        <f t="shared" si="2"/>
        <v>0</v>
      </c>
      <c r="AB17" s="21">
        <f t="shared" si="3"/>
        <v>0</v>
      </c>
      <c r="AC17" s="21">
        <f t="shared" si="4"/>
        <v>0</v>
      </c>
      <c r="AD17" s="21">
        <f t="shared" si="5"/>
        <v>0</v>
      </c>
      <c r="AE17" s="21">
        <f t="shared" si="6"/>
        <v>0</v>
      </c>
      <c r="AF17" s="21">
        <f t="shared" si="7"/>
        <v>0</v>
      </c>
      <c r="AG17" s="21">
        <f t="shared" si="8"/>
        <v>0</v>
      </c>
      <c r="AH17" s="9" t="s">
        <v>48</v>
      </c>
      <c r="AI17" s="21">
        <f>IF(AM17=0,J17,0)</f>
        <v>0</v>
      </c>
      <c r="AJ17" s="21">
        <f>IF(AM17=15,J17,0)</f>
        <v>0</v>
      </c>
      <c r="AK17" s="21">
        <f>IF(AM17=21,J17,0)</f>
        <v>0</v>
      </c>
      <c r="AM17" s="21">
        <v>21</v>
      </c>
      <c r="AN17" s="21">
        <f>G17*0</f>
        <v>0</v>
      </c>
      <c r="AO17" s="21">
        <f>G17*(1-0)</f>
        <v>0</v>
      </c>
      <c r="AP17" s="22" t="s">
        <v>51</v>
      </c>
      <c r="AU17" s="21">
        <f t="shared" si="9"/>
        <v>0</v>
      </c>
      <c r="AV17" s="21">
        <f>ROUND(F17*AN17,2)</f>
        <v>0</v>
      </c>
      <c r="AW17" s="21">
        <f>ROUND(F17*AO17,2)</f>
        <v>0</v>
      </c>
      <c r="AX17" s="22" t="s">
        <v>55</v>
      </c>
      <c r="AY17" s="22" t="s">
        <v>55</v>
      </c>
      <c r="AZ17" s="9" t="s">
        <v>56</v>
      </c>
      <c r="BB17" s="21">
        <f t="shared" si="10"/>
        <v>0</v>
      </c>
      <c r="BC17" s="21">
        <f>G17/(100-BD17)*100</f>
        <v>0</v>
      </c>
      <c r="BD17" s="21">
        <v>0</v>
      </c>
      <c r="BE17" s="21">
        <f>17</f>
        <v>17</v>
      </c>
      <c r="BG17" s="21">
        <f>F17*AN17</f>
        <v>0</v>
      </c>
      <c r="BH17" s="21">
        <f>F17*AO17</f>
        <v>0</v>
      </c>
      <c r="BI17" s="21">
        <f>F17*G17</f>
        <v>0</v>
      </c>
      <c r="BJ17" s="22" t="s">
        <v>57</v>
      </c>
      <c r="BK17" s="21">
        <v>11</v>
      </c>
      <c r="BV17" s="21">
        <v>21</v>
      </c>
      <c r="BW17" s="4" t="s">
        <v>72</v>
      </c>
    </row>
    <row r="18" spans="1:75" ht="35.1" customHeight="1">
      <c r="A18" s="2" t="s">
        <v>73</v>
      </c>
      <c r="B18" s="3" t="s">
        <v>74</v>
      </c>
      <c r="C18" s="60" t="s">
        <v>75</v>
      </c>
      <c r="D18" s="60"/>
      <c r="E18" s="3" t="s">
        <v>54</v>
      </c>
      <c r="F18" s="21">
        <v>2</v>
      </c>
      <c r="G18" s="21">
        <v>0</v>
      </c>
      <c r="H18" s="21">
        <f>ROUND(F18*AN18,2)</f>
        <v>0</v>
      </c>
      <c r="I18" s="21">
        <f>ROUND(F18*AO18,2)</f>
        <v>0</v>
      </c>
      <c r="J18" s="21">
        <f t="shared" si="0"/>
        <v>0</v>
      </c>
      <c r="Y18" s="21">
        <f t="shared" si="1"/>
        <v>0</v>
      </c>
      <c r="AA18" s="21">
        <f t="shared" si="2"/>
        <v>0</v>
      </c>
      <c r="AB18" s="21">
        <f t="shared" si="3"/>
        <v>0</v>
      </c>
      <c r="AC18" s="21">
        <f t="shared" si="4"/>
        <v>0</v>
      </c>
      <c r="AD18" s="21">
        <f t="shared" si="5"/>
        <v>0</v>
      </c>
      <c r="AE18" s="21">
        <f t="shared" si="6"/>
        <v>0</v>
      </c>
      <c r="AF18" s="21">
        <f t="shared" si="7"/>
        <v>0</v>
      </c>
      <c r="AG18" s="21">
        <f t="shared" si="8"/>
        <v>0</v>
      </c>
      <c r="AH18" s="9" t="s">
        <v>48</v>
      </c>
      <c r="AI18" s="21">
        <f>IF(AM18=0,J18,0)</f>
        <v>0</v>
      </c>
      <c r="AJ18" s="21">
        <f>IF(AM18=15,J18,0)</f>
        <v>0</v>
      </c>
      <c r="AK18" s="21">
        <f>IF(AM18=21,J18,0)</f>
        <v>0</v>
      </c>
      <c r="AM18" s="21">
        <v>21</v>
      </c>
      <c r="AN18" s="21">
        <f>G18*0</f>
        <v>0</v>
      </c>
      <c r="AO18" s="21">
        <f>G18*(1-0)</f>
        <v>0</v>
      </c>
      <c r="AP18" s="22" t="s">
        <v>51</v>
      </c>
      <c r="AU18" s="21">
        <f t="shared" si="9"/>
        <v>0</v>
      </c>
      <c r="AV18" s="21">
        <f>ROUND(F18*AN18,2)</f>
        <v>0</v>
      </c>
      <c r="AW18" s="21">
        <f>ROUND(F18*AO18,2)</f>
        <v>0</v>
      </c>
      <c r="AX18" s="22" t="s">
        <v>55</v>
      </c>
      <c r="AY18" s="22" t="s">
        <v>55</v>
      </c>
      <c r="AZ18" s="9" t="s">
        <v>56</v>
      </c>
      <c r="BB18" s="21">
        <f t="shared" si="10"/>
        <v>0</v>
      </c>
      <c r="BC18" s="21">
        <f>G18/(100-BD18)*100</f>
        <v>0</v>
      </c>
      <c r="BD18" s="21">
        <v>0</v>
      </c>
      <c r="BE18" s="21">
        <f>18</f>
        <v>18</v>
      </c>
      <c r="BG18" s="21">
        <f>F18*AN18</f>
        <v>0</v>
      </c>
      <c r="BH18" s="21">
        <f>F18*AO18</f>
        <v>0</v>
      </c>
      <c r="BI18" s="21">
        <f>F18*G18</f>
        <v>0</v>
      </c>
      <c r="BJ18" s="22" t="s">
        <v>57</v>
      </c>
      <c r="BK18" s="21">
        <v>11</v>
      </c>
      <c r="BV18" s="21">
        <v>21</v>
      </c>
      <c r="BW18" s="4" t="s">
        <v>75</v>
      </c>
    </row>
    <row r="19" spans="1:75" ht="35.1" customHeight="1">
      <c r="A19" s="23" t="s">
        <v>48</v>
      </c>
      <c r="B19" s="24" t="s">
        <v>76</v>
      </c>
      <c r="C19" s="68" t="s">
        <v>77</v>
      </c>
      <c r="D19" s="68"/>
      <c r="E19" s="25" t="s">
        <v>4</v>
      </c>
      <c r="F19" s="25" t="s">
        <v>4</v>
      </c>
      <c r="G19" s="25" t="s">
        <v>4</v>
      </c>
      <c r="H19" s="1">
        <f>ROUND(SUM(H20:H27),2)</f>
        <v>0</v>
      </c>
      <c r="I19" s="1">
        <f>ROUND(SUM(I20:I27),2)</f>
        <v>0</v>
      </c>
      <c r="J19" s="1">
        <f>ROUND(SUM(J20:J27),2)</f>
        <v>0</v>
      </c>
      <c r="AH19" s="9" t="s">
        <v>48</v>
      </c>
      <c r="AR19" s="1">
        <f>SUM(AI20:AI27)</f>
        <v>0</v>
      </c>
      <c r="AS19" s="1">
        <f>SUM(AJ20:AJ27)</f>
        <v>0</v>
      </c>
      <c r="AT19" s="1">
        <f>SUM(AK20:AK27)</f>
        <v>0</v>
      </c>
    </row>
    <row r="20" spans="1:75" ht="35.1" customHeight="1">
      <c r="A20" s="2" t="s">
        <v>78</v>
      </c>
      <c r="B20" s="3" t="s">
        <v>79</v>
      </c>
      <c r="C20" s="60" t="s">
        <v>80</v>
      </c>
      <c r="D20" s="60"/>
      <c r="E20" s="3" t="s">
        <v>61</v>
      </c>
      <c r="F20" s="21">
        <v>1636.1</v>
      </c>
      <c r="G20" s="21">
        <v>0</v>
      </c>
      <c r="H20" s="21">
        <f>ROUND(F20*AN20,2)</f>
        <v>0</v>
      </c>
      <c r="I20" s="21">
        <f>ROUND(F20*AO20,2)</f>
        <v>0</v>
      </c>
      <c r="J20" s="21">
        <f t="shared" ref="J20:J27" si="11">ROUND(F20*G20,2)</f>
        <v>0</v>
      </c>
      <c r="Y20" s="21">
        <f t="shared" ref="Y20:Y27" si="12">ROUND(IF(AP20="5",BI20,0),2)</f>
        <v>0</v>
      </c>
      <c r="AA20" s="21">
        <f t="shared" ref="AA20:AA27" si="13">ROUND(IF(AP20="1",BG20,0),2)</f>
        <v>0</v>
      </c>
      <c r="AB20" s="21">
        <f t="shared" ref="AB20:AB27" si="14">ROUND(IF(AP20="1",BH20,0),2)</f>
        <v>0</v>
      </c>
      <c r="AC20" s="21">
        <f t="shared" ref="AC20:AC27" si="15">ROUND(IF(AP20="7",BG20,0),2)</f>
        <v>0</v>
      </c>
      <c r="AD20" s="21">
        <f t="shared" ref="AD20:AD27" si="16">ROUND(IF(AP20="7",BH20,0),2)</f>
        <v>0</v>
      </c>
      <c r="AE20" s="21">
        <f t="shared" ref="AE20:AE27" si="17">ROUND(IF(AP20="2",BG20,0),2)</f>
        <v>0</v>
      </c>
      <c r="AF20" s="21">
        <f t="shared" ref="AF20:AF27" si="18">ROUND(IF(AP20="2",BH20,0),2)</f>
        <v>0</v>
      </c>
      <c r="AG20" s="21">
        <f t="shared" ref="AG20:AG27" si="19">ROUND(IF(AP20="0",BI20,0),2)</f>
        <v>0</v>
      </c>
      <c r="AH20" s="9" t="s">
        <v>48</v>
      </c>
      <c r="AI20" s="21">
        <f>IF(AM20=0,J20,0)</f>
        <v>0</v>
      </c>
      <c r="AJ20" s="21">
        <f>IF(AM20=15,J20,0)</f>
        <v>0</v>
      </c>
      <c r="AK20" s="21">
        <f>IF(AM20=21,J20,0)</f>
        <v>0</v>
      </c>
      <c r="AM20" s="21">
        <v>21</v>
      </c>
      <c r="AN20" s="21">
        <f>G20*0</f>
        <v>0</v>
      </c>
      <c r="AO20" s="21">
        <f>G20*(1-0)</f>
        <v>0</v>
      </c>
      <c r="AP20" s="22" t="s">
        <v>51</v>
      </c>
      <c r="AU20" s="21">
        <f t="shared" ref="AU20:AU27" si="20">ROUND(AV20+AW20,2)</f>
        <v>0</v>
      </c>
      <c r="AV20" s="21">
        <f>ROUND(F20*AN20,2)</f>
        <v>0</v>
      </c>
      <c r="AW20" s="21">
        <f>ROUND(F20*AO20,2)</f>
        <v>0</v>
      </c>
      <c r="AX20" s="22" t="s">
        <v>81</v>
      </c>
      <c r="AY20" s="22" t="s">
        <v>81</v>
      </c>
      <c r="AZ20" s="9" t="s">
        <v>56</v>
      </c>
      <c r="BB20" s="21">
        <f t="shared" ref="BB20:BB27" si="21">AV20+AW20</f>
        <v>0</v>
      </c>
      <c r="BC20" s="21">
        <f>G20/(100-BD20)*100</f>
        <v>0</v>
      </c>
      <c r="BD20" s="21">
        <v>0</v>
      </c>
      <c r="BE20" s="21">
        <f>20</f>
        <v>20</v>
      </c>
      <c r="BG20" s="21">
        <f>F20*AN20</f>
        <v>0</v>
      </c>
      <c r="BH20" s="21">
        <f>F20*AO20</f>
        <v>0</v>
      </c>
      <c r="BI20" s="21">
        <f>F20*G20</f>
        <v>0</v>
      </c>
      <c r="BJ20" s="22" t="s">
        <v>57</v>
      </c>
      <c r="BK20" s="21">
        <v>12</v>
      </c>
      <c r="BV20" s="21">
        <v>21</v>
      </c>
      <c r="BW20" s="4" t="s">
        <v>80</v>
      </c>
    </row>
    <row r="21" spans="1:75" ht="35.1" customHeight="1">
      <c r="A21" s="2" t="s">
        <v>82</v>
      </c>
      <c r="B21" s="3" t="s">
        <v>83</v>
      </c>
      <c r="C21" s="60" t="s">
        <v>84</v>
      </c>
      <c r="D21" s="60"/>
      <c r="E21" s="3" t="s">
        <v>61</v>
      </c>
      <c r="F21" s="21">
        <v>143.1</v>
      </c>
      <c r="G21" s="21">
        <v>0</v>
      </c>
      <c r="H21" s="21">
        <f>ROUND(F21*AN21,2)</f>
        <v>0</v>
      </c>
      <c r="I21" s="21">
        <f>ROUND(F21*AO21,2)</f>
        <v>0</v>
      </c>
      <c r="J21" s="21">
        <f t="shared" si="11"/>
        <v>0</v>
      </c>
      <c r="Y21" s="21">
        <f t="shared" si="12"/>
        <v>0</v>
      </c>
      <c r="AA21" s="21">
        <f t="shared" si="13"/>
        <v>0</v>
      </c>
      <c r="AB21" s="21">
        <f t="shared" si="14"/>
        <v>0</v>
      </c>
      <c r="AC21" s="21">
        <f t="shared" si="15"/>
        <v>0</v>
      </c>
      <c r="AD21" s="21">
        <f t="shared" si="16"/>
        <v>0</v>
      </c>
      <c r="AE21" s="21">
        <f t="shared" si="17"/>
        <v>0</v>
      </c>
      <c r="AF21" s="21">
        <f t="shared" si="18"/>
        <v>0</v>
      </c>
      <c r="AG21" s="21">
        <f t="shared" si="19"/>
        <v>0</v>
      </c>
      <c r="AH21" s="9" t="s">
        <v>48</v>
      </c>
      <c r="AI21" s="21">
        <f>IF(AM21=0,J21,0)</f>
        <v>0</v>
      </c>
      <c r="AJ21" s="21">
        <f>IF(AM21=15,J21,0)</f>
        <v>0</v>
      </c>
      <c r="AK21" s="21">
        <f>IF(AM21=21,J21,0)</f>
        <v>0</v>
      </c>
      <c r="AM21" s="21">
        <v>21</v>
      </c>
      <c r="AN21" s="21">
        <f>G21*0</f>
        <v>0</v>
      </c>
      <c r="AO21" s="21">
        <f>G21*(1-0)</f>
        <v>0</v>
      </c>
      <c r="AP21" s="22" t="s">
        <v>51</v>
      </c>
      <c r="AU21" s="21">
        <f t="shared" si="20"/>
        <v>0</v>
      </c>
      <c r="AV21" s="21">
        <f>ROUND(F21*AN21,2)</f>
        <v>0</v>
      </c>
      <c r="AW21" s="21">
        <f>ROUND(F21*AO21,2)</f>
        <v>0</v>
      </c>
      <c r="AX21" s="22" t="s">
        <v>81</v>
      </c>
      <c r="AY21" s="22" t="s">
        <v>81</v>
      </c>
      <c r="AZ21" s="9" t="s">
        <v>56</v>
      </c>
      <c r="BB21" s="21">
        <f t="shared" si="21"/>
        <v>0</v>
      </c>
      <c r="BC21" s="21">
        <f>G21/(100-BD21)*100</f>
        <v>0</v>
      </c>
      <c r="BD21" s="21">
        <v>0</v>
      </c>
      <c r="BE21" s="21">
        <f>21</f>
        <v>21</v>
      </c>
      <c r="BG21" s="21">
        <f>F21*AN21</f>
        <v>0</v>
      </c>
      <c r="BH21" s="21">
        <f>F21*AO21</f>
        <v>0</v>
      </c>
      <c r="BI21" s="21">
        <f>F21*G21</f>
        <v>0</v>
      </c>
      <c r="BJ21" s="22" t="s">
        <v>57</v>
      </c>
      <c r="BK21" s="21">
        <v>12</v>
      </c>
      <c r="BV21" s="21">
        <v>21</v>
      </c>
      <c r="BW21" s="4" t="s">
        <v>84</v>
      </c>
    </row>
    <row r="22" spans="1:75" ht="35.1" customHeight="1">
      <c r="A22" s="2" t="s">
        <v>85</v>
      </c>
      <c r="B22" s="3" t="s">
        <v>86</v>
      </c>
      <c r="C22" s="60" t="s">
        <v>87</v>
      </c>
      <c r="D22" s="60"/>
      <c r="E22" s="3" t="s">
        <v>61</v>
      </c>
      <c r="F22" s="21">
        <v>307.35000000000002</v>
      </c>
      <c r="G22" s="21">
        <v>0</v>
      </c>
      <c r="H22" s="21">
        <f>ROUND(F22*AN22,2)</f>
        <v>0</v>
      </c>
      <c r="I22" s="21">
        <f>ROUND(F22*AO22,2)</f>
        <v>0</v>
      </c>
      <c r="J22" s="21">
        <f t="shared" si="11"/>
        <v>0</v>
      </c>
      <c r="Y22" s="21">
        <f t="shared" si="12"/>
        <v>0</v>
      </c>
      <c r="AA22" s="21">
        <f t="shared" si="13"/>
        <v>0</v>
      </c>
      <c r="AB22" s="21">
        <f t="shared" si="14"/>
        <v>0</v>
      </c>
      <c r="AC22" s="21">
        <f t="shared" si="15"/>
        <v>0</v>
      </c>
      <c r="AD22" s="21">
        <f t="shared" si="16"/>
        <v>0</v>
      </c>
      <c r="AE22" s="21">
        <f t="shared" si="17"/>
        <v>0</v>
      </c>
      <c r="AF22" s="21">
        <f t="shared" si="18"/>
        <v>0</v>
      </c>
      <c r="AG22" s="21">
        <f t="shared" si="19"/>
        <v>0</v>
      </c>
      <c r="AH22" s="9" t="s">
        <v>48</v>
      </c>
      <c r="AI22" s="21">
        <f>IF(AM22=0,J22,0)</f>
        <v>0</v>
      </c>
      <c r="AJ22" s="21">
        <f>IF(AM22=15,J22,0)</f>
        <v>0</v>
      </c>
      <c r="AK22" s="21">
        <f>IF(AM22=21,J22,0)</f>
        <v>0</v>
      </c>
      <c r="AM22" s="21">
        <v>21</v>
      </c>
      <c r="AN22" s="21">
        <f>G22*0</f>
        <v>0</v>
      </c>
      <c r="AO22" s="21">
        <f>G22*(1-0)</f>
        <v>0</v>
      </c>
      <c r="AP22" s="22" t="s">
        <v>51</v>
      </c>
      <c r="AU22" s="21">
        <f t="shared" si="20"/>
        <v>0</v>
      </c>
      <c r="AV22" s="21">
        <f>ROUND(F22*AN22,2)</f>
        <v>0</v>
      </c>
      <c r="AW22" s="21">
        <f>ROUND(F22*AO22,2)</f>
        <v>0</v>
      </c>
      <c r="AX22" s="22" t="s">
        <v>81</v>
      </c>
      <c r="AY22" s="22" t="s">
        <v>81</v>
      </c>
      <c r="AZ22" s="9" t="s">
        <v>56</v>
      </c>
      <c r="BB22" s="21">
        <f t="shared" si="21"/>
        <v>0</v>
      </c>
      <c r="BC22" s="21">
        <f>G22/(100-BD22)*100</f>
        <v>0</v>
      </c>
      <c r="BD22" s="21">
        <v>0</v>
      </c>
      <c r="BE22" s="21">
        <f>22</f>
        <v>22</v>
      </c>
      <c r="BG22" s="21">
        <f>F22*AN22</f>
        <v>0</v>
      </c>
      <c r="BH22" s="21">
        <f>F22*AO22</f>
        <v>0</v>
      </c>
      <c r="BI22" s="21">
        <f>F22*G22</f>
        <v>0</v>
      </c>
      <c r="BJ22" s="22" t="s">
        <v>57</v>
      </c>
      <c r="BK22" s="21">
        <v>12</v>
      </c>
      <c r="BV22" s="21">
        <v>21</v>
      </c>
      <c r="BW22" s="4" t="s">
        <v>87</v>
      </c>
    </row>
    <row r="23" spans="1:75" ht="35.1" customHeight="1">
      <c r="A23" s="2" t="s">
        <v>88</v>
      </c>
      <c r="B23" s="3" t="s">
        <v>89</v>
      </c>
      <c r="C23" s="60" t="s">
        <v>90</v>
      </c>
      <c r="D23" s="60"/>
      <c r="E23" s="3" t="s">
        <v>61</v>
      </c>
      <c r="F23" s="21">
        <v>204.9</v>
      </c>
      <c r="G23" s="21">
        <v>0</v>
      </c>
      <c r="H23" s="21">
        <f>ROUND(F23*AN23,2)</f>
        <v>0</v>
      </c>
      <c r="I23" s="21">
        <f>ROUND(F23*AO23,2)</f>
        <v>0</v>
      </c>
      <c r="J23" s="21">
        <f t="shared" si="11"/>
        <v>0</v>
      </c>
      <c r="Y23" s="21">
        <f t="shared" si="12"/>
        <v>0</v>
      </c>
      <c r="AA23" s="21">
        <f t="shared" si="13"/>
        <v>0</v>
      </c>
      <c r="AB23" s="21">
        <f t="shared" si="14"/>
        <v>0</v>
      </c>
      <c r="AC23" s="21">
        <f t="shared" si="15"/>
        <v>0</v>
      </c>
      <c r="AD23" s="21">
        <f t="shared" si="16"/>
        <v>0</v>
      </c>
      <c r="AE23" s="21">
        <f t="shared" si="17"/>
        <v>0</v>
      </c>
      <c r="AF23" s="21">
        <f t="shared" si="18"/>
        <v>0</v>
      </c>
      <c r="AG23" s="21">
        <f t="shared" si="19"/>
        <v>0</v>
      </c>
      <c r="AH23" s="9" t="s">
        <v>48</v>
      </c>
      <c r="AI23" s="21">
        <f>IF(AM23=0,J23,0)</f>
        <v>0</v>
      </c>
      <c r="AJ23" s="21">
        <f>IF(AM23=15,J23,0)</f>
        <v>0</v>
      </c>
      <c r="AK23" s="21">
        <f>IF(AM23=21,J23,0)</f>
        <v>0</v>
      </c>
      <c r="AM23" s="21">
        <v>21</v>
      </c>
      <c r="AN23" s="21">
        <f>G23*0</f>
        <v>0</v>
      </c>
      <c r="AO23" s="21">
        <f>G23*(1-0)</f>
        <v>0</v>
      </c>
      <c r="AP23" s="22" t="s">
        <v>51</v>
      </c>
      <c r="AU23" s="21">
        <f t="shared" si="20"/>
        <v>0</v>
      </c>
      <c r="AV23" s="21">
        <f>ROUND(F23*AN23,2)</f>
        <v>0</v>
      </c>
      <c r="AW23" s="21">
        <f>ROUND(F23*AO23,2)</f>
        <v>0</v>
      </c>
      <c r="AX23" s="22" t="s">
        <v>81</v>
      </c>
      <c r="AY23" s="22" t="s">
        <v>81</v>
      </c>
      <c r="AZ23" s="9" t="s">
        <v>56</v>
      </c>
      <c r="BB23" s="21">
        <f t="shared" si="21"/>
        <v>0</v>
      </c>
      <c r="BC23" s="21">
        <f>G23/(100-BD23)*100</f>
        <v>0</v>
      </c>
      <c r="BD23" s="21">
        <v>0</v>
      </c>
      <c r="BE23" s="21">
        <f>23</f>
        <v>23</v>
      </c>
      <c r="BG23" s="21">
        <f>F23*AN23</f>
        <v>0</v>
      </c>
      <c r="BH23" s="21">
        <f>F23*AO23</f>
        <v>0</v>
      </c>
      <c r="BI23" s="21">
        <f>F23*G23</f>
        <v>0</v>
      </c>
      <c r="BJ23" s="22" t="s">
        <v>57</v>
      </c>
      <c r="BK23" s="21">
        <v>12</v>
      </c>
      <c r="BV23" s="21">
        <v>21</v>
      </c>
      <c r="BW23" s="4" t="s">
        <v>90</v>
      </c>
    </row>
    <row r="24" spans="1:75" ht="35.1" customHeight="1">
      <c r="A24" s="2" t="s">
        <v>49</v>
      </c>
      <c r="B24" s="3" t="s">
        <v>91</v>
      </c>
      <c r="C24" s="60" t="s">
        <v>92</v>
      </c>
      <c r="D24" s="60"/>
      <c r="E24" s="3" t="s">
        <v>61</v>
      </c>
      <c r="F24" s="21">
        <v>204.9</v>
      </c>
      <c r="G24" s="21">
        <v>0</v>
      </c>
      <c r="H24" s="21">
        <f>ROUND(F24*AN24,2)</f>
        <v>0</v>
      </c>
      <c r="I24" s="21">
        <f>ROUND(F24*AO24,2)</f>
        <v>0</v>
      </c>
      <c r="J24" s="21">
        <f t="shared" si="11"/>
        <v>0</v>
      </c>
      <c r="Y24" s="21">
        <f t="shared" si="12"/>
        <v>0</v>
      </c>
      <c r="AA24" s="21">
        <f t="shared" si="13"/>
        <v>0</v>
      </c>
      <c r="AB24" s="21">
        <f t="shared" si="14"/>
        <v>0</v>
      </c>
      <c r="AC24" s="21">
        <f t="shared" si="15"/>
        <v>0</v>
      </c>
      <c r="AD24" s="21">
        <f t="shared" si="16"/>
        <v>0</v>
      </c>
      <c r="AE24" s="21">
        <f t="shared" si="17"/>
        <v>0</v>
      </c>
      <c r="AF24" s="21">
        <f t="shared" si="18"/>
        <v>0</v>
      </c>
      <c r="AG24" s="21">
        <f t="shared" si="19"/>
        <v>0</v>
      </c>
      <c r="AH24" s="9" t="s">
        <v>48</v>
      </c>
      <c r="AI24" s="21">
        <f>IF(AM24=0,J24,0)</f>
        <v>0</v>
      </c>
      <c r="AJ24" s="21">
        <f>IF(AM24=15,J24,0)</f>
        <v>0</v>
      </c>
      <c r="AK24" s="21">
        <f>IF(AM24=21,J24,0)</f>
        <v>0</v>
      </c>
      <c r="AM24" s="21">
        <v>21</v>
      </c>
      <c r="AN24" s="21">
        <f>G24*0.032283083</f>
        <v>0</v>
      </c>
      <c r="AO24" s="21">
        <f>G24*(1-0.032283083)</f>
        <v>0</v>
      </c>
      <c r="AP24" s="22" t="s">
        <v>51</v>
      </c>
      <c r="AU24" s="21">
        <f t="shared" si="20"/>
        <v>0</v>
      </c>
      <c r="AV24" s="21">
        <f>ROUND(F24*AN24,2)</f>
        <v>0</v>
      </c>
      <c r="AW24" s="21">
        <f>ROUND(F24*AO24,2)</f>
        <v>0</v>
      </c>
      <c r="AX24" s="22" t="s">
        <v>81</v>
      </c>
      <c r="AY24" s="22" t="s">
        <v>81</v>
      </c>
      <c r="AZ24" s="9" t="s">
        <v>56</v>
      </c>
      <c r="BB24" s="21">
        <f t="shared" si="21"/>
        <v>0</v>
      </c>
      <c r="BC24" s="21">
        <f>G24/(100-BD24)*100</f>
        <v>0</v>
      </c>
      <c r="BD24" s="21">
        <v>0</v>
      </c>
      <c r="BE24" s="21">
        <f>24</f>
        <v>24</v>
      </c>
      <c r="BG24" s="21">
        <f>F24*AN24</f>
        <v>0</v>
      </c>
      <c r="BH24" s="21">
        <f>F24*AO24</f>
        <v>0</v>
      </c>
      <c r="BI24" s="21">
        <f>F24*G24</f>
        <v>0</v>
      </c>
      <c r="BJ24" s="22" t="s">
        <v>57</v>
      </c>
      <c r="BK24" s="21">
        <v>12</v>
      </c>
      <c r="BV24" s="21">
        <v>21</v>
      </c>
      <c r="BW24" s="4" t="s">
        <v>92</v>
      </c>
    </row>
    <row r="25" spans="1:75" ht="35.1" customHeight="1">
      <c r="A25" s="2" t="s">
        <v>76</v>
      </c>
      <c r="B25" s="3" t="s">
        <v>93</v>
      </c>
      <c r="C25" s="60" t="s">
        <v>94</v>
      </c>
      <c r="D25" s="60"/>
      <c r="E25" s="3" t="s">
        <v>61</v>
      </c>
      <c r="F25" s="21">
        <v>307.35000000000002</v>
      </c>
      <c r="G25" s="21">
        <v>0</v>
      </c>
      <c r="H25" s="21">
        <f>ROUND(F25*AN25,2)</f>
        <v>0</v>
      </c>
      <c r="I25" s="21">
        <f>ROUND(F25*AO25,2)</f>
        <v>0</v>
      </c>
      <c r="J25" s="21">
        <f t="shared" si="11"/>
        <v>0</v>
      </c>
      <c r="Y25" s="21">
        <f t="shared" si="12"/>
        <v>0</v>
      </c>
      <c r="AA25" s="21">
        <f t="shared" si="13"/>
        <v>0</v>
      </c>
      <c r="AB25" s="21">
        <f t="shared" si="14"/>
        <v>0</v>
      </c>
      <c r="AC25" s="21">
        <f t="shared" si="15"/>
        <v>0</v>
      </c>
      <c r="AD25" s="21">
        <f t="shared" si="16"/>
        <v>0</v>
      </c>
      <c r="AE25" s="21">
        <f t="shared" si="17"/>
        <v>0</v>
      </c>
      <c r="AF25" s="21">
        <f t="shared" si="18"/>
        <v>0</v>
      </c>
      <c r="AG25" s="21">
        <f t="shared" si="19"/>
        <v>0</v>
      </c>
      <c r="AH25" s="9" t="s">
        <v>48</v>
      </c>
      <c r="AI25" s="21">
        <f>IF(AM25=0,J25,0)</f>
        <v>0</v>
      </c>
      <c r="AJ25" s="21">
        <f>IF(AM25=15,J25,0)</f>
        <v>0</v>
      </c>
      <c r="AK25" s="21">
        <f>IF(AM25=21,J25,0)</f>
        <v>0</v>
      </c>
      <c r="AM25" s="21">
        <v>21</v>
      </c>
      <c r="AN25" s="21">
        <f>G25*0.078669126</f>
        <v>0</v>
      </c>
      <c r="AO25" s="21">
        <f>G25*(1-0.078669126)</f>
        <v>0</v>
      </c>
      <c r="AP25" s="22" t="s">
        <v>51</v>
      </c>
      <c r="AU25" s="21">
        <f t="shared" si="20"/>
        <v>0</v>
      </c>
      <c r="AV25" s="21">
        <f>ROUND(F25*AN25,2)</f>
        <v>0</v>
      </c>
      <c r="AW25" s="21">
        <f>ROUND(F25*AO25,2)</f>
        <v>0</v>
      </c>
      <c r="AX25" s="22" t="s">
        <v>81</v>
      </c>
      <c r="AY25" s="22" t="s">
        <v>81</v>
      </c>
      <c r="AZ25" s="9" t="s">
        <v>56</v>
      </c>
      <c r="BB25" s="21">
        <f t="shared" si="21"/>
        <v>0</v>
      </c>
      <c r="BC25" s="21">
        <f>G25/(100-BD25)*100</f>
        <v>0</v>
      </c>
      <c r="BD25" s="21">
        <v>0</v>
      </c>
      <c r="BE25" s="21">
        <f>25</f>
        <v>25</v>
      </c>
      <c r="BG25" s="21">
        <f>F25*AN25</f>
        <v>0</v>
      </c>
      <c r="BH25" s="21">
        <f>F25*AO25</f>
        <v>0</v>
      </c>
      <c r="BI25" s="21">
        <f>F25*G25</f>
        <v>0</v>
      </c>
      <c r="BJ25" s="22" t="s">
        <v>57</v>
      </c>
      <c r="BK25" s="21">
        <v>12</v>
      </c>
      <c r="BV25" s="21">
        <v>21</v>
      </c>
      <c r="BW25" s="4" t="s">
        <v>94</v>
      </c>
    </row>
    <row r="26" spans="1:75" ht="35.1" customHeight="1">
      <c r="A26" s="2" t="s">
        <v>95</v>
      </c>
      <c r="B26" s="3" t="s">
        <v>96</v>
      </c>
      <c r="C26" s="60" t="s">
        <v>97</v>
      </c>
      <c r="D26" s="60"/>
      <c r="E26" s="3" t="s">
        <v>61</v>
      </c>
      <c r="F26" s="21">
        <v>1028.82</v>
      </c>
      <c r="G26" s="21">
        <v>0</v>
      </c>
      <c r="H26" s="21">
        <f>ROUND(F26*AN26,2)</f>
        <v>0</v>
      </c>
      <c r="I26" s="21">
        <f>ROUND(F26*AO26,2)</f>
        <v>0</v>
      </c>
      <c r="J26" s="21">
        <f t="shared" si="11"/>
        <v>0</v>
      </c>
      <c r="Y26" s="21">
        <f t="shared" si="12"/>
        <v>0</v>
      </c>
      <c r="AA26" s="21">
        <f t="shared" si="13"/>
        <v>0</v>
      </c>
      <c r="AB26" s="21">
        <f t="shared" si="14"/>
        <v>0</v>
      </c>
      <c r="AC26" s="21">
        <f t="shared" si="15"/>
        <v>0</v>
      </c>
      <c r="AD26" s="21">
        <f t="shared" si="16"/>
        <v>0</v>
      </c>
      <c r="AE26" s="21">
        <f t="shared" si="17"/>
        <v>0</v>
      </c>
      <c r="AF26" s="21">
        <f t="shared" si="18"/>
        <v>0</v>
      </c>
      <c r="AG26" s="21">
        <f t="shared" si="19"/>
        <v>0</v>
      </c>
      <c r="AH26" s="9" t="s">
        <v>48</v>
      </c>
      <c r="AI26" s="21">
        <f>IF(AM26=0,J26,0)</f>
        <v>0</v>
      </c>
      <c r="AJ26" s="21">
        <f>IF(AM26=15,J26,0)</f>
        <v>0</v>
      </c>
      <c r="AK26" s="21">
        <f>IF(AM26=21,J26,0)</f>
        <v>0</v>
      </c>
      <c r="AM26" s="21">
        <v>21</v>
      </c>
      <c r="AN26" s="21">
        <f>G26*0</f>
        <v>0</v>
      </c>
      <c r="AO26" s="21">
        <f>G26*(1-0)</f>
        <v>0</v>
      </c>
      <c r="AP26" s="22" t="s">
        <v>51</v>
      </c>
      <c r="AU26" s="21">
        <f t="shared" si="20"/>
        <v>0</v>
      </c>
      <c r="AV26" s="21">
        <f>ROUND(F26*AN26,2)</f>
        <v>0</v>
      </c>
      <c r="AW26" s="21">
        <f>ROUND(F26*AO26,2)</f>
        <v>0</v>
      </c>
      <c r="AX26" s="22" t="s">
        <v>81</v>
      </c>
      <c r="AY26" s="22" t="s">
        <v>81</v>
      </c>
      <c r="AZ26" s="9" t="s">
        <v>56</v>
      </c>
      <c r="BB26" s="21">
        <f t="shared" si="21"/>
        <v>0</v>
      </c>
      <c r="BC26" s="21">
        <f>G26/(100-BD26)*100</f>
        <v>0</v>
      </c>
      <c r="BD26" s="21">
        <v>0</v>
      </c>
      <c r="BE26" s="21">
        <f>26</f>
        <v>26</v>
      </c>
      <c r="BG26" s="21">
        <f>F26*AN26</f>
        <v>0</v>
      </c>
      <c r="BH26" s="21">
        <f>F26*AO26</f>
        <v>0</v>
      </c>
      <c r="BI26" s="21">
        <f>F26*G26</f>
        <v>0</v>
      </c>
      <c r="BJ26" s="22" t="s">
        <v>57</v>
      </c>
      <c r="BK26" s="21">
        <v>12</v>
      </c>
      <c r="BV26" s="21">
        <v>21</v>
      </c>
      <c r="BW26" s="4" t="s">
        <v>97</v>
      </c>
    </row>
    <row r="27" spans="1:75" ht="35.1" customHeight="1">
      <c r="A27" s="2" t="s">
        <v>98</v>
      </c>
      <c r="B27" s="3" t="s">
        <v>99</v>
      </c>
      <c r="C27" s="60" t="s">
        <v>100</v>
      </c>
      <c r="D27" s="60"/>
      <c r="E27" s="3" t="s">
        <v>61</v>
      </c>
      <c r="F27" s="21">
        <v>1028.82</v>
      </c>
      <c r="G27" s="21">
        <v>0</v>
      </c>
      <c r="H27" s="21">
        <f>ROUND(F27*AN27,2)</f>
        <v>0</v>
      </c>
      <c r="I27" s="21">
        <f>ROUND(F27*AO27,2)</f>
        <v>0</v>
      </c>
      <c r="J27" s="21">
        <f t="shared" si="11"/>
        <v>0</v>
      </c>
      <c r="Y27" s="21">
        <f t="shared" si="12"/>
        <v>0</v>
      </c>
      <c r="AA27" s="21">
        <f t="shared" si="13"/>
        <v>0</v>
      </c>
      <c r="AB27" s="21">
        <f t="shared" si="14"/>
        <v>0</v>
      </c>
      <c r="AC27" s="21">
        <f t="shared" si="15"/>
        <v>0</v>
      </c>
      <c r="AD27" s="21">
        <f t="shared" si="16"/>
        <v>0</v>
      </c>
      <c r="AE27" s="21">
        <f t="shared" si="17"/>
        <v>0</v>
      </c>
      <c r="AF27" s="21">
        <f t="shared" si="18"/>
        <v>0</v>
      </c>
      <c r="AG27" s="21">
        <f t="shared" si="19"/>
        <v>0</v>
      </c>
      <c r="AH27" s="9" t="s">
        <v>48</v>
      </c>
      <c r="AI27" s="21">
        <f>IF(AM27=0,J27,0)</f>
        <v>0</v>
      </c>
      <c r="AJ27" s="21">
        <f>IF(AM27=15,J27,0)</f>
        <v>0</v>
      </c>
      <c r="AK27" s="21">
        <f>IF(AM27=21,J27,0)</f>
        <v>0</v>
      </c>
      <c r="AM27" s="21">
        <v>21</v>
      </c>
      <c r="AN27" s="21">
        <f>G27*1</f>
        <v>0</v>
      </c>
      <c r="AO27" s="21">
        <f>G27*(1-1)</f>
        <v>0</v>
      </c>
      <c r="AP27" s="22" t="s">
        <v>51</v>
      </c>
      <c r="AU27" s="21">
        <f t="shared" si="20"/>
        <v>0</v>
      </c>
      <c r="AV27" s="21">
        <f>ROUND(F27*AN27,2)</f>
        <v>0</v>
      </c>
      <c r="AW27" s="21">
        <f>ROUND(F27*AO27,2)</f>
        <v>0</v>
      </c>
      <c r="AX27" s="22" t="s">
        <v>81</v>
      </c>
      <c r="AY27" s="22" t="s">
        <v>81</v>
      </c>
      <c r="AZ27" s="9" t="s">
        <v>56</v>
      </c>
      <c r="BB27" s="21">
        <f t="shared" si="21"/>
        <v>0</v>
      </c>
      <c r="BC27" s="21">
        <f>G27/(100-BD27)*100</f>
        <v>0</v>
      </c>
      <c r="BD27" s="21">
        <v>0</v>
      </c>
      <c r="BE27" s="21">
        <f>27</f>
        <v>27</v>
      </c>
      <c r="BG27" s="21">
        <f>F27*AN27</f>
        <v>0</v>
      </c>
      <c r="BH27" s="21">
        <f>F27*AO27</f>
        <v>0</v>
      </c>
      <c r="BI27" s="21">
        <f>F27*G27</f>
        <v>0</v>
      </c>
      <c r="BJ27" s="22" t="s">
        <v>66</v>
      </c>
      <c r="BK27" s="21">
        <v>12</v>
      </c>
      <c r="BV27" s="21">
        <v>21</v>
      </c>
      <c r="BW27" s="4" t="s">
        <v>100</v>
      </c>
    </row>
    <row r="28" spans="1:75" ht="35.1" customHeight="1">
      <c r="A28" s="23" t="s">
        <v>48</v>
      </c>
      <c r="B28" s="24" t="s">
        <v>95</v>
      </c>
      <c r="C28" s="68" t="s">
        <v>101</v>
      </c>
      <c r="D28" s="68"/>
      <c r="E28" s="25" t="s">
        <v>4</v>
      </c>
      <c r="F28" s="25" t="s">
        <v>4</v>
      </c>
      <c r="G28" s="25" t="s">
        <v>4</v>
      </c>
      <c r="H28" s="1">
        <f>ROUND(SUM(H29:H30),2)</f>
        <v>0</v>
      </c>
      <c r="I28" s="1">
        <f>ROUND(SUM(I29:I30),2)</f>
        <v>0</v>
      </c>
      <c r="J28" s="1">
        <f>ROUND(SUM(J29:J30),2)</f>
        <v>0</v>
      </c>
      <c r="AH28" s="9" t="s">
        <v>48</v>
      </c>
      <c r="AR28" s="1">
        <f>SUM(AI29:AI30)</f>
        <v>0</v>
      </c>
      <c r="AS28" s="1">
        <f>SUM(AJ29:AJ30)</f>
        <v>0</v>
      </c>
      <c r="AT28" s="1">
        <f>SUM(AK29:AK30)</f>
        <v>0</v>
      </c>
    </row>
    <row r="29" spans="1:75" ht="35.1" customHeight="1">
      <c r="A29" s="2" t="s">
        <v>102</v>
      </c>
      <c r="B29" s="3" t="s">
        <v>103</v>
      </c>
      <c r="C29" s="60" t="s">
        <v>104</v>
      </c>
      <c r="D29" s="60"/>
      <c r="E29" s="3" t="s">
        <v>61</v>
      </c>
      <c r="F29" s="21">
        <v>15.2</v>
      </c>
      <c r="G29" s="21">
        <v>0</v>
      </c>
      <c r="H29" s="21">
        <f>ROUND(F29*AN29,2)</f>
        <v>0</v>
      </c>
      <c r="I29" s="21">
        <f>ROUND(F29*AO29,2)</f>
        <v>0</v>
      </c>
      <c r="J29" s="21">
        <f>ROUND(F29*G29,2)</f>
        <v>0</v>
      </c>
      <c r="Y29" s="21">
        <f>ROUND(IF(AP29="5",BI29,0),2)</f>
        <v>0</v>
      </c>
      <c r="AA29" s="21">
        <f>ROUND(IF(AP29="1",BG29,0),2)</f>
        <v>0</v>
      </c>
      <c r="AB29" s="21">
        <f>ROUND(IF(AP29="1",BH29,0),2)</f>
        <v>0</v>
      </c>
      <c r="AC29" s="21">
        <f>ROUND(IF(AP29="7",BG29,0),2)</f>
        <v>0</v>
      </c>
      <c r="AD29" s="21">
        <f>ROUND(IF(AP29="7",BH29,0),2)</f>
        <v>0</v>
      </c>
      <c r="AE29" s="21">
        <f>ROUND(IF(AP29="2",BG29,0),2)</f>
        <v>0</v>
      </c>
      <c r="AF29" s="21">
        <f>ROUND(IF(AP29="2",BH29,0),2)</f>
        <v>0</v>
      </c>
      <c r="AG29" s="21">
        <f>ROUND(IF(AP29="0",BI29,0),2)</f>
        <v>0</v>
      </c>
      <c r="AH29" s="9" t="s">
        <v>48</v>
      </c>
      <c r="AI29" s="21">
        <f>IF(AM29=0,J29,0)</f>
        <v>0</v>
      </c>
      <c r="AJ29" s="21">
        <f>IF(AM29=15,J29,0)</f>
        <v>0</v>
      </c>
      <c r="AK29" s="21">
        <f>IF(AM29=21,J29,0)</f>
        <v>0</v>
      </c>
      <c r="AM29" s="21">
        <v>21</v>
      </c>
      <c r="AN29" s="21">
        <f>G29*0</f>
        <v>0</v>
      </c>
      <c r="AO29" s="21">
        <f>G29*(1-0)</f>
        <v>0</v>
      </c>
      <c r="AP29" s="22" t="s">
        <v>51</v>
      </c>
      <c r="AU29" s="21">
        <f>ROUND(AV29+AW29,2)</f>
        <v>0</v>
      </c>
      <c r="AV29" s="21">
        <f>ROUND(F29*AN29,2)</f>
        <v>0</v>
      </c>
      <c r="AW29" s="21">
        <f>ROUND(F29*AO29,2)</f>
        <v>0</v>
      </c>
      <c r="AX29" s="22" t="s">
        <v>105</v>
      </c>
      <c r="AY29" s="22" t="s">
        <v>105</v>
      </c>
      <c r="AZ29" s="9" t="s">
        <v>56</v>
      </c>
      <c r="BB29" s="21">
        <f>AV29+AW29</f>
        <v>0</v>
      </c>
      <c r="BC29" s="21">
        <f>G29/(100-BD29)*100</f>
        <v>0</v>
      </c>
      <c r="BD29" s="21">
        <v>0</v>
      </c>
      <c r="BE29" s="21">
        <f>29</f>
        <v>29</v>
      </c>
      <c r="BG29" s="21">
        <f>F29*AN29</f>
        <v>0</v>
      </c>
      <c r="BH29" s="21">
        <f>F29*AO29</f>
        <v>0</v>
      </c>
      <c r="BI29" s="21">
        <f>F29*G29</f>
        <v>0</v>
      </c>
      <c r="BJ29" s="22" t="s">
        <v>57</v>
      </c>
      <c r="BK29" s="21">
        <v>13</v>
      </c>
      <c r="BV29" s="21">
        <v>21</v>
      </c>
      <c r="BW29" s="4" t="s">
        <v>104</v>
      </c>
    </row>
    <row r="30" spans="1:75" ht="35.1" customHeight="1">
      <c r="A30" s="2" t="s">
        <v>106</v>
      </c>
      <c r="B30" s="3" t="s">
        <v>107</v>
      </c>
      <c r="C30" s="60" t="s">
        <v>108</v>
      </c>
      <c r="D30" s="60"/>
      <c r="E30" s="3" t="s">
        <v>61</v>
      </c>
      <c r="F30" s="21">
        <v>48.15</v>
      </c>
      <c r="G30" s="21">
        <v>0</v>
      </c>
      <c r="H30" s="21">
        <f>ROUND(F30*AN30,2)</f>
        <v>0</v>
      </c>
      <c r="I30" s="21">
        <f>ROUND(F30*AO30,2)</f>
        <v>0</v>
      </c>
      <c r="J30" s="21">
        <f>ROUND(F30*G30,2)</f>
        <v>0</v>
      </c>
      <c r="Y30" s="21">
        <f>ROUND(IF(AP30="5",BI30,0),2)</f>
        <v>0</v>
      </c>
      <c r="AA30" s="21">
        <f>ROUND(IF(AP30="1",BG30,0),2)</f>
        <v>0</v>
      </c>
      <c r="AB30" s="21">
        <f>ROUND(IF(AP30="1",BH30,0),2)</f>
        <v>0</v>
      </c>
      <c r="AC30" s="21">
        <f>ROUND(IF(AP30="7",BG30,0),2)</f>
        <v>0</v>
      </c>
      <c r="AD30" s="21">
        <f>ROUND(IF(AP30="7",BH30,0),2)</f>
        <v>0</v>
      </c>
      <c r="AE30" s="21">
        <f>ROUND(IF(AP30="2",BG30,0),2)</f>
        <v>0</v>
      </c>
      <c r="AF30" s="21">
        <f>ROUND(IF(AP30="2",BH30,0),2)</f>
        <v>0</v>
      </c>
      <c r="AG30" s="21">
        <f>ROUND(IF(AP30="0",BI30,0),2)</f>
        <v>0</v>
      </c>
      <c r="AH30" s="9" t="s">
        <v>48</v>
      </c>
      <c r="AI30" s="21">
        <f>IF(AM30=0,J30,0)</f>
        <v>0</v>
      </c>
      <c r="AJ30" s="21">
        <f>IF(AM30=15,J30,0)</f>
        <v>0</v>
      </c>
      <c r="AK30" s="21">
        <f>IF(AM30=21,J30,0)</f>
        <v>0</v>
      </c>
      <c r="AM30" s="21">
        <v>21</v>
      </c>
      <c r="AN30" s="21">
        <f>G30*0</f>
        <v>0</v>
      </c>
      <c r="AO30" s="21">
        <f>G30*(1-0)</f>
        <v>0</v>
      </c>
      <c r="AP30" s="22" t="s">
        <v>51</v>
      </c>
      <c r="AU30" s="21">
        <f>ROUND(AV30+AW30,2)</f>
        <v>0</v>
      </c>
      <c r="AV30" s="21">
        <f>ROUND(F30*AN30,2)</f>
        <v>0</v>
      </c>
      <c r="AW30" s="21">
        <f>ROUND(F30*AO30,2)</f>
        <v>0</v>
      </c>
      <c r="AX30" s="22" t="s">
        <v>105</v>
      </c>
      <c r="AY30" s="22" t="s">
        <v>105</v>
      </c>
      <c r="AZ30" s="9" t="s">
        <v>56</v>
      </c>
      <c r="BB30" s="21">
        <f>AV30+AW30</f>
        <v>0</v>
      </c>
      <c r="BC30" s="21">
        <f>G30/(100-BD30)*100</f>
        <v>0</v>
      </c>
      <c r="BD30" s="21">
        <v>0</v>
      </c>
      <c r="BE30" s="21">
        <f>30</f>
        <v>30</v>
      </c>
      <c r="BG30" s="21">
        <f>F30*AN30</f>
        <v>0</v>
      </c>
      <c r="BH30" s="21">
        <f>F30*AO30</f>
        <v>0</v>
      </c>
      <c r="BI30" s="21">
        <f>F30*G30</f>
        <v>0</v>
      </c>
      <c r="BJ30" s="22" t="s">
        <v>57</v>
      </c>
      <c r="BK30" s="21">
        <v>13</v>
      </c>
      <c r="BV30" s="21">
        <v>21</v>
      </c>
      <c r="BW30" s="4" t="s">
        <v>108</v>
      </c>
    </row>
    <row r="31" spans="1:75" ht="35.1" customHeight="1">
      <c r="A31" s="23" t="s">
        <v>48</v>
      </c>
      <c r="B31" s="24" t="s">
        <v>106</v>
      </c>
      <c r="C31" s="68" t="s">
        <v>109</v>
      </c>
      <c r="D31" s="68"/>
      <c r="E31" s="25" t="s">
        <v>4</v>
      </c>
      <c r="F31" s="25" t="s">
        <v>4</v>
      </c>
      <c r="G31" s="25" t="s">
        <v>4</v>
      </c>
      <c r="H31" s="1">
        <f>ROUND(SUM(H32:H38),2)</f>
        <v>0</v>
      </c>
      <c r="I31" s="1">
        <f>ROUND(SUM(I32:I38),2)</f>
        <v>0</v>
      </c>
      <c r="J31" s="1">
        <f>ROUND(SUM(J32:J38),2)</f>
        <v>0</v>
      </c>
      <c r="AH31" s="9" t="s">
        <v>48</v>
      </c>
      <c r="AR31" s="1">
        <f>SUM(AI32:AI38)</f>
        <v>0</v>
      </c>
      <c r="AS31" s="1">
        <f>SUM(AJ32:AJ38)</f>
        <v>0</v>
      </c>
      <c r="AT31" s="1">
        <f>SUM(AK32:AK38)</f>
        <v>0</v>
      </c>
    </row>
    <row r="32" spans="1:75" ht="35.1" customHeight="1">
      <c r="A32" s="2" t="s">
        <v>110</v>
      </c>
      <c r="B32" s="3" t="s">
        <v>111</v>
      </c>
      <c r="C32" s="60" t="s">
        <v>112</v>
      </c>
      <c r="D32" s="60"/>
      <c r="E32" s="3" t="s">
        <v>61</v>
      </c>
      <c r="F32" s="21">
        <v>583.65</v>
      </c>
      <c r="G32" s="21">
        <v>0</v>
      </c>
      <c r="H32" s="21">
        <f>ROUND(F32*AN32,2)</f>
        <v>0</v>
      </c>
      <c r="I32" s="21">
        <f>ROUND(F32*AO32,2)</f>
        <v>0</v>
      </c>
      <c r="J32" s="21">
        <f t="shared" ref="J32:J38" si="22">ROUND(F32*G32,2)</f>
        <v>0</v>
      </c>
      <c r="Y32" s="21">
        <f t="shared" ref="Y32:Y38" si="23">ROUND(IF(AP32="5",BI32,0),2)</f>
        <v>0</v>
      </c>
      <c r="AA32" s="21">
        <f t="shared" ref="AA32:AA38" si="24">ROUND(IF(AP32="1",BG32,0),2)</f>
        <v>0</v>
      </c>
      <c r="AB32" s="21">
        <f t="shared" ref="AB32:AB38" si="25">ROUND(IF(AP32="1",BH32,0),2)</f>
        <v>0</v>
      </c>
      <c r="AC32" s="21">
        <f t="shared" ref="AC32:AC38" si="26">ROUND(IF(AP32="7",BG32,0),2)</f>
        <v>0</v>
      </c>
      <c r="AD32" s="21">
        <f t="shared" ref="AD32:AD38" si="27">ROUND(IF(AP32="7",BH32,0),2)</f>
        <v>0</v>
      </c>
      <c r="AE32" s="21">
        <f t="shared" ref="AE32:AE38" si="28">ROUND(IF(AP32="2",BG32,0),2)</f>
        <v>0</v>
      </c>
      <c r="AF32" s="21">
        <f t="shared" ref="AF32:AF38" si="29">ROUND(IF(AP32="2",BH32,0),2)</f>
        <v>0</v>
      </c>
      <c r="AG32" s="21">
        <f t="shared" ref="AG32:AG38" si="30">ROUND(IF(AP32="0",BI32,0),2)</f>
        <v>0</v>
      </c>
      <c r="AH32" s="9" t="s">
        <v>48</v>
      </c>
      <c r="AI32" s="21">
        <f>IF(AM32=0,J32,0)</f>
        <v>0</v>
      </c>
      <c r="AJ32" s="21">
        <f>IF(AM32=15,J32,0)</f>
        <v>0</v>
      </c>
      <c r="AK32" s="21">
        <f>IF(AM32=21,J32,0)</f>
        <v>0</v>
      </c>
      <c r="AM32" s="21">
        <v>21</v>
      </c>
      <c r="AN32" s="21">
        <f>G32*0</f>
        <v>0</v>
      </c>
      <c r="AO32" s="21">
        <f>G32*(1-0)</f>
        <v>0</v>
      </c>
      <c r="AP32" s="22" t="s">
        <v>51</v>
      </c>
      <c r="AU32" s="21">
        <f t="shared" ref="AU32:AU38" si="31">ROUND(AV32+AW32,2)</f>
        <v>0</v>
      </c>
      <c r="AV32" s="21">
        <f>ROUND(F32*AN32,2)</f>
        <v>0</v>
      </c>
      <c r="AW32" s="21">
        <f>ROUND(F32*AO32,2)</f>
        <v>0</v>
      </c>
      <c r="AX32" s="22" t="s">
        <v>113</v>
      </c>
      <c r="AY32" s="22" t="s">
        <v>113</v>
      </c>
      <c r="AZ32" s="9" t="s">
        <v>56</v>
      </c>
      <c r="BB32" s="21">
        <f t="shared" ref="BB32:BB38" si="32">AV32+AW32</f>
        <v>0</v>
      </c>
      <c r="BC32" s="21">
        <f>G32/(100-BD32)*100</f>
        <v>0</v>
      </c>
      <c r="BD32" s="21">
        <v>0</v>
      </c>
      <c r="BE32" s="21">
        <f>32</f>
        <v>32</v>
      </c>
      <c r="BG32" s="21">
        <f>F32*AN32</f>
        <v>0</v>
      </c>
      <c r="BH32" s="21">
        <f>F32*AO32</f>
        <v>0</v>
      </c>
      <c r="BI32" s="21">
        <f>F32*G32</f>
        <v>0</v>
      </c>
      <c r="BJ32" s="22" t="s">
        <v>57</v>
      </c>
      <c r="BK32" s="21">
        <v>16</v>
      </c>
      <c r="BV32" s="21">
        <v>21</v>
      </c>
      <c r="BW32" s="4" t="s">
        <v>112</v>
      </c>
    </row>
    <row r="33" spans="1:75" ht="35.1" customHeight="1">
      <c r="A33" s="2" t="s">
        <v>114</v>
      </c>
      <c r="B33" s="3" t="s">
        <v>115</v>
      </c>
      <c r="C33" s="60" t="s">
        <v>116</v>
      </c>
      <c r="D33" s="60"/>
      <c r="E33" s="3" t="s">
        <v>61</v>
      </c>
      <c r="F33" s="21">
        <v>1028.82</v>
      </c>
      <c r="G33" s="21">
        <v>0</v>
      </c>
      <c r="H33" s="21">
        <f>ROUND(F33*AN33,2)</f>
        <v>0</v>
      </c>
      <c r="I33" s="21">
        <f>ROUND(F33*AO33,2)</f>
        <v>0</v>
      </c>
      <c r="J33" s="21">
        <f t="shared" si="22"/>
        <v>0</v>
      </c>
      <c r="Y33" s="21">
        <f t="shared" si="23"/>
        <v>0</v>
      </c>
      <c r="AA33" s="21">
        <f t="shared" si="24"/>
        <v>0</v>
      </c>
      <c r="AB33" s="21">
        <f t="shared" si="25"/>
        <v>0</v>
      </c>
      <c r="AC33" s="21">
        <f t="shared" si="26"/>
        <v>0</v>
      </c>
      <c r="AD33" s="21">
        <f t="shared" si="27"/>
        <v>0</v>
      </c>
      <c r="AE33" s="21">
        <f t="shared" si="28"/>
        <v>0</v>
      </c>
      <c r="AF33" s="21">
        <f t="shared" si="29"/>
        <v>0</v>
      </c>
      <c r="AG33" s="21">
        <f t="shared" si="30"/>
        <v>0</v>
      </c>
      <c r="AH33" s="9" t="s">
        <v>48</v>
      </c>
      <c r="AI33" s="21">
        <f>IF(AM33=0,J33,0)</f>
        <v>0</v>
      </c>
      <c r="AJ33" s="21">
        <f>IF(AM33=15,J33,0)</f>
        <v>0</v>
      </c>
      <c r="AK33" s="21">
        <f>IF(AM33=21,J33,0)</f>
        <v>0</v>
      </c>
      <c r="AM33" s="21">
        <v>21</v>
      </c>
      <c r="AN33" s="21">
        <f>G33*0</f>
        <v>0</v>
      </c>
      <c r="AO33" s="21">
        <f>G33*(1-0)</f>
        <v>0</v>
      </c>
      <c r="AP33" s="22" t="s">
        <v>51</v>
      </c>
      <c r="AU33" s="21">
        <f t="shared" si="31"/>
        <v>0</v>
      </c>
      <c r="AV33" s="21">
        <f>ROUND(F33*AN33,2)</f>
        <v>0</v>
      </c>
      <c r="AW33" s="21">
        <f>ROUND(F33*AO33,2)</f>
        <v>0</v>
      </c>
      <c r="AX33" s="22" t="s">
        <v>113</v>
      </c>
      <c r="AY33" s="22" t="s">
        <v>113</v>
      </c>
      <c r="AZ33" s="9" t="s">
        <v>56</v>
      </c>
      <c r="BB33" s="21">
        <f t="shared" si="32"/>
        <v>0</v>
      </c>
      <c r="BC33" s="21">
        <f>G33/(100-BD33)*100</f>
        <v>0</v>
      </c>
      <c r="BD33" s="21">
        <v>0</v>
      </c>
      <c r="BE33" s="21">
        <f>33</f>
        <v>33</v>
      </c>
      <c r="BG33" s="21">
        <f>F33*AN33</f>
        <v>0</v>
      </c>
      <c r="BH33" s="21">
        <f>F33*AO33</f>
        <v>0</v>
      </c>
      <c r="BI33" s="21">
        <f>F33*G33</f>
        <v>0</v>
      </c>
      <c r="BJ33" s="22" t="s">
        <v>57</v>
      </c>
      <c r="BK33" s="21">
        <v>16</v>
      </c>
      <c r="BV33" s="21">
        <v>21</v>
      </c>
      <c r="BW33" s="4" t="s">
        <v>116</v>
      </c>
    </row>
    <row r="34" spans="1:75" ht="35.1" customHeight="1">
      <c r="A34" s="2" t="s">
        <v>117</v>
      </c>
      <c r="B34" s="3" t="s">
        <v>118</v>
      </c>
      <c r="C34" s="60" t="s">
        <v>119</v>
      </c>
      <c r="D34" s="60"/>
      <c r="E34" s="3" t="s">
        <v>61</v>
      </c>
      <c r="F34" s="21">
        <v>583.65</v>
      </c>
      <c r="G34" s="21">
        <v>0</v>
      </c>
      <c r="H34" s="21">
        <f>ROUND(F34*AN34,2)</f>
        <v>0</v>
      </c>
      <c r="I34" s="21">
        <f>ROUND(F34*AO34,2)</f>
        <v>0</v>
      </c>
      <c r="J34" s="21">
        <f t="shared" si="22"/>
        <v>0</v>
      </c>
      <c r="Y34" s="21">
        <f t="shared" si="23"/>
        <v>0</v>
      </c>
      <c r="AA34" s="21">
        <f t="shared" si="24"/>
        <v>0</v>
      </c>
      <c r="AB34" s="21">
        <f t="shared" si="25"/>
        <v>0</v>
      </c>
      <c r="AC34" s="21">
        <f t="shared" si="26"/>
        <v>0</v>
      </c>
      <c r="AD34" s="21">
        <f t="shared" si="27"/>
        <v>0</v>
      </c>
      <c r="AE34" s="21">
        <f t="shared" si="28"/>
        <v>0</v>
      </c>
      <c r="AF34" s="21">
        <f t="shared" si="29"/>
        <v>0</v>
      </c>
      <c r="AG34" s="21">
        <f t="shared" si="30"/>
        <v>0</v>
      </c>
      <c r="AH34" s="9" t="s">
        <v>48</v>
      </c>
      <c r="AI34" s="21">
        <f>IF(AM34=0,J34,0)</f>
        <v>0</v>
      </c>
      <c r="AJ34" s="21">
        <f>IF(AM34=15,J34,0)</f>
        <v>0</v>
      </c>
      <c r="AK34" s="21">
        <f>IF(AM34=21,J34,0)</f>
        <v>0</v>
      </c>
      <c r="AM34" s="21">
        <v>21</v>
      </c>
      <c r="AN34" s="21">
        <f>G34*0</f>
        <v>0</v>
      </c>
      <c r="AO34" s="21">
        <f>G34*(1-0)</f>
        <v>0</v>
      </c>
      <c r="AP34" s="22" t="s">
        <v>51</v>
      </c>
      <c r="AU34" s="21">
        <f t="shared" si="31"/>
        <v>0</v>
      </c>
      <c r="AV34" s="21">
        <f>ROUND(F34*AN34,2)</f>
        <v>0</v>
      </c>
      <c r="AW34" s="21">
        <f>ROUND(F34*AO34,2)</f>
        <v>0</v>
      </c>
      <c r="AX34" s="22" t="s">
        <v>113</v>
      </c>
      <c r="AY34" s="22" t="s">
        <v>113</v>
      </c>
      <c r="AZ34" s="9" t="s">
        <v>56</v>
      </c>
      <c r="BB34" s="21">
        <f t="shared" si="32"/>
        <v>0</v>
      </c>
      <c r="BC34" s="21">
        <f>G34/(100-BD34)*100</f>
        <v>0</v>
      </c>
      <c r="BD34" s="21">
        <v>0</v>
      </c>
      <c r="BE34" s="21">
        <f>34</f>
        <v>34</v>
      </c>
      <c r="BG34" s="21">
        <f>F34*AN34</f>
        <v>0</v>
      </c>
      <c r="BH34" s="21">
        <f>F34*AO34</f>
        <v>0</v>
      </c>
      <c r="BI34" s="21">
        <f>F34*G34</f>
        <v>0</v>
      </c>
      <c r="BJ34" s="22" t="s">
        <v>57</v>
      </c>
      <c r="BK34" s="21">
        <v>16</v>
      </c>
      <c r="BV34" s="21">
        <v>21</v>
      </c>
      <c r="BW34" s="4" t="s">
        <v>119</v>
      </c>
    </row>
    <row r="35" spans="1:75" ht="35.1" customHeight="1">
      <c r="A35" s="2" t="s">
        <v>120</v>
      </c>
      <c r="B35" s="3" t="s">
        <v>121</v>
      </c>
      <c r="C35" s="60" t="s">
        <v>122</v>
      </c>
      <c r="D35" s="60"/>
      <c r="E35" s="3" t="s">
        <v>54</v>
      </c>
      <c r="F35" s="21">
        <v>6</v>
      </c>
      <c r="G35" s="21">
        <v>0</v>
      </c>
      <c r="H35" s="21">
        <f>ROUND(F35*AN35,2)</f>
        <v>0</v>
      </c>
      <c r="I35" s="21">
        <f>ROUND(F35*AO35,2)</f>
        <v>0</v>
      </c>
      <c r="J35" s="21">
        <f t="shared" si="22"/>
        <v>0</v>
      </c>
      <c r="Y35" s="21">
        <f t="shared" si="23"/>
        <v>0</v>
      </c>
      <c r="AA35" s="21">
        <f t="shared" si="24"/>
        <v>0</v>
      </c>
      <c r="AB35" s="21">
        <f t="shared" si="25"/>
        <v>0</v>
      </c>
      <c r="AC35" s="21">
        <f t="shared" si="26"/>
        <v>0</v>
      </c>
      <c r="AD35" s="21">
        <f t="shared" si="27"/>
        <v>0</v>
      </c>
      <c r="AE35" s="21">
        <f t="shared" si="28"/>
        <v>0</v>
      </c>
      <c r="AF35" s="21">
        <f t="shared" si="29"/>
        <v>0</v>
      </c>
      <c r="AG35" s="21">
        <f t="shared" si="30"/>
        <v>0</v>
      </c>
      <c r="AH35" s="9" t="s">
        <v>48</v>
      </c>
      <c r="AI35" s="21">
        <f>IF(AM35=0,J35,0)</f>
        <v>0</v>
      </c>
      <c r="AJ35" s="21">
        <f>IF(AM35=15,J35,0)</f>
        <v>0</v>
      </c>
      <c r="AK35" s="21">
        <f>IF(AM35=21,J35,0)</f>
        <v>0</v>
      </c>
      <c r="AM35" s="21">
        <v>21</v>
      </c>
      <c r="AN35" s="21">
        <f>G35*0</f>
        <v>0</v>
      </c>
      <c r="AO35" s="21">
        <f>G35*(1-0)</f>
        <v>0</v>
      </c>
      <c r="AP35" s="22" t="s">
        <v>51</v>
      </c>
      <c r="AU35" s="21">
        <f t="shared" si="31"/>
        <v>0</v>
      </c>
      <c r="AV35" s="21">
        <f>ROUND(F35*AN35,2)</f>
        <v>0</v>
      </c>
      <c r="AW35" s="21">
        <f>ROUND(F35*AO35,2)</f>
        <v>0</v>
      </c>
      <c r="AX35" s="22" t="s">
        <v>113</v>
      </c>
      <c r="AY35" s="22" t="s">
        <v>113</v>
      </c>
      <c r="AZ35" s="9" t="s">
        <v>56</v>
      </c>
      <c r="BB35" s="21">
        <f t="shared" si="32"/>
        <v>0</v>
      </c>
      <c r="BC35" s="21">
        <f>G35/(100-BD35)*100</f>
        <v>0</v>
      </c>
      <c r="BD35" s="21">
        <v>0</v>
      </c>
      <c r="BE35" s="21">
        <f>35</f>
        <v>35</v>
      </c>
      <c r="BG35" s="21">
        <f>F35*AN35</f>
        <v>0</v>
      </c>
      <c r="BH35" s="21">
        <f>F35*AO35</f>
        <v>0</v>
      </c>
      <c r="BI35" s="21">
        <f>F35*G35</f>
        <v>0</v>
      </c>
      <c r="BJ35" s="22" t="s">
        <v>57</v>
      </c>
      <c r="BK35" s="21">
        <v>16</v>
      </c>
      <c r="BV35" s="21">
        <v>21</v>
      </c>
      <c r="BW35" s="4" t="s">
        <v>122</v>
      </c>
    </row>
    <row r="36" spans="1:75" ht="35.1" customHeight="1">
      <c r="A36" s="2" t="s">
        <v>123</v>
      </c>
      <c r="B36" s="3" t="s">
        <v>124</v>
      </c>
      <c r="C36" s="60" t="s">
        <v>125</v>
      </c>
      <c r="D36" s="60"/>
      <c r="E36" s="3" t="s">
        <v>54</v>
      </c>
      <c r="F36" s="21">
        <v>6</v>
      </c>
      <c r="G36" s="21">
        <v>0</v>
      </c>
      <c r="H36" s="21">
        <f>ROUND(F36*AN36,2)</f>
        <v>0</v>
      </c>
      <c r="I36" s="21">
        <f>ROUND(F36*AO36,2)</f>
        <v>0</v>
      </c>
      <c r="J36" s="21">
        <f t="shared" si="22"/>
        <v>0</v>
      </c>
      <c r="Y36" s="21">
        <f t="shared" si="23"/>
        <v>0</v>
      </c>
      <c r="AA36" s="21">
        <f t="shared" si="24"/>
        <v>0</v>
      </c>
      <c r="AB36" s="21">
        <f t="shared" si="25"/>
        <v>0</v>
      </c>
      <c r="AC36" s="21">
        <f t="shared" si="26"/>
        <v>0</v>
      </c>
      <c r="AD36" s="21">
        <f t="shared" si="27"/>
        <v>0</v>
      </c>
      <c r="AE36" s="21">
        <f t="shared" si="28"/>
        <v>0</v>
      </c>
      <c r="AF36" s="21">
        <f t="shared" si="29"/>
        <v>0</v>
      </c>
      <c r="AG36" s="21">
        <f t="shared" si="30"/>
        <v>0</v>
      </c>
      <c r="AH36" s="9" t="s">
        <v>48</v>
      </c>
      <c r="AI36" s="21">
        <f>IF(AM36=0,J36,0)</f>
        <v>0</v>
      </c>
      <c r="AJ36" s="21">
        <f>IF(AM36=15,J36,0)</f>
        <v>0</v>
      </c>
      <c r="AK36" s="21">
        <f>IF(AM36=21,J36,0)</f>
        <v>0</v>
      </c>
      <c r="AM36" s="21">
        <v>21</v>
      </c>
      <c r="AN36" s="21">
        <f>G36*0</f>
        <v>0</v>
      </c>
      <c r="AO36" s="21">
        <f>G36*(1-0)</f>
        <v>0</v>
      </c>
      <c r="AP36" s="22" t="s">
        <v>51</v>
      </c>
      <c r="AU36" s="21">
        <f t="shared" si="31"/>
        <v>0</v>
      </c>
      <c r="AV36" s="21">
        <f>ROUND(F36*AN36,2)</f>
        <v>0</v>
      </c>
      <c r="AW36" s="21">
        <f>ROUND(F36*AO36,2)</f>
        <v>0</v>
      </c>
      <c r="AX36" s="22" t="s">
        <v>113</v>
      </c>
      <c r="AY36" s="22" t="s">
        <v>113</v>
      </c>
      <c r="AZ36" s="9" t="s">
        <v>56</v>
      </c>
      <c r="BB36" s="21">
        <f t="shared" si="32"/>
        <v>0</v>
      </c>
      <c r="BC36" s="21">
        <f>G36/(100-BD36)*100</f>
        <v>0</v>
      </c>
      <c r="BD36" s="21">
        <v>0</v>
      </c>
      <c r="BE36" s="21">
        <f>36</f>
        <v>36</v>
      </c>
      <c r="BG36" s="21">
        <f>F36*AN36</f>
        <v>0</v>
      </c>
      <c r="BH36" s="21">
        <f>F36*AO36</f>
        <v>0</v>
      </c>
      <c r="BI36" s="21">
        <f>F36*G36</f>
        <v>0</v>
      </c>
      <c r="BJ36" s="22" t="s">
        <v>57</v>
      </c>
      <c r="BK36" s="21">
        <v>16</v>
      </c>
      <c r="BV36" s="21">
        <v>21</v>
      </c>
      <c r="BW36" s="4" t="s">
        <v>125</v>
      </c>
    </row>
    <row r="37" spans="1:75" ht="35.1" customHeight="1">
      <c r="A37" s="2" t="s">
        <v>126</v>
      </c>
      <c r="B37" s="3" t="s">
        <v>127</v>
      </c>
      <c r="C37" s="60" t="s">
        <v>128</v>
      </c>
      <c r="D37" s="60"/>
      <c r="E37" s="3" t="s">
        <v>54</v>
      </c>
      <c r="F37" s="21">
        <v>6</v>
      </c>
      <c r="G37" s="21">
        <v>0</v>
      </c>
      <c r="H37" s="21">
        <f>ROUND(F37*AN37,2)</f>
        <v>0</v>
      </c>
      <c r="I37" s="21">
        <f>ROUND(F37*AO37,2)</f>
        <v>0</v>
      </c>
      <c r="J37" s="21">
        <f t="shared" si="22"/>
        <v>0</v>
      </c>
      <c r="Y37" s="21">
        <f t="shared" si="23"/>
        <v>0</v>
      </c>
      <c r="AA37" s="21">
        <f t="shared" si="24"/>
        <v>0</v>
      </c>
      <c r="AB37" s="21">
        <f t="shared" si="25"/>
        <v>0</v>
      </c>
      <c r="AC37" s="21">
        <f t="shared" si="26"/>
        <v>0</v>
      </c>
      <c r="AD37" s="21">
        <f t="shared" si="27"/>
        <v>0</v>
      </c>
      <c r="AE37" s="21">
        <f t="shared" si="28"/>
        <v>0</v>
      </c>
      <c r="AF37" s="21">
        <f t="shared" si="29"/>
        <v>0</v>
      </c>
      <c r="AG37" s="21">
        <f t="shared" si="30"/>
        <v>0</v>
      </c>
      <c r="AH37" s="9" t="s">
        <v>48</v>
      </c>
      <c r="AI37" s="21">
        <f>IF(AM37=0,J37,0)</f>
        <v>0</v>
      </c>
      <c r="AJ37" s="21">
        <f>IF(AM37=15,J37,0)</f>
        <v>0</v>
      </c>
      <c r="AK37" s="21">
        <f>IF(AM37=21,J37,0)</f>
        <v>0</v>
      </c>
      <c r="AM37" s="21">
        <v>21</v>
      </c>
      <c r="AN37" s="21">
        <f>G37*0</f>
        <v>0</v>
      </c>
      <c r="AO37" s="21">
        <f>G37*(1-0)</f>
        <v>0</v>
      </c>
      <c r="AP37" s="22" t="s">
        <v>51</v>
      </c>
      <c r="AU37" s="21">
        <f t="shared" si="31"/>
        <v>0</v>
      </c>
      <c r="AV37" s="21">
        <f>ROUND(F37*AN37,2)</f>
        <v>0</v>
      </c>
      <c r="AW37" s="21">
        <f>ROUND(F37*AO37,2)</f>
        <v>0</v>
      </c>
      <c r="AX37" s="22" t="s">
        <v>113</v>
      </c>
      <c r="AY37" s="22" t="s">
        <v>113</v>
      </c>
      <c r="AZ37" s="9" t="s">
        <v>56</v>
      </c>
      <c r="BB37" s="21">
        <f t="shared" si="32"/>
        <v>0</v>
      </c>
      <c r="BC37" s="21">
        <f>G37/(100-BD37)*100</f>
        <v>0</v>
      </c>
      <c r="BD37" s="21">
        <v>0</v>
      </c>
      <c r="BE37" s="21">
        <f>37</f>
        <v>37</v>
      </c>
      <c r="BG37" s="21">
        <f>F37*AN37</f>
        <v>0</v>
      </c>
      <c r="BH37" s="21">
        <f>F37*AO37</f>
        <v>0</v>
      </c>
      <c r="BI37" s="21">
        <f>F37*G37</f>
        <v>0</v>
      </c>
      <c r="BJ37" s="22" t="s">
        <v>57</v>
      </c>
      <c r="BK37" s="21">
        <v>16</v>
      </c>
      <c r="BV37" s="21">
        <v>21</v>
      </c>
      <c r="BW37" s="4" t="s">
        <v>128</v>
      </c>
    </row>
    <row r="38" spans="1:75" ht="35.1" customHeight="1">
      <c r="A38" s="2" t="s">
        <v>129</v>
      </c>
      <c r="B38" s="3" t="s">
        <v>130</v>
      </c>
      <c r="C38" s="60" t="s">
        <v>131</v>
      </c>
      <c r="D38" s="60"/>
      <c r="E38" s="3" t="s">
        <v>61</v>
      </c>
      <c r="F38" s="21">
        <v>1636.1</v>
      </c>
      <c r="G38" s="21">
        <v>0</v>
      </c>
      <c r="H38" s="21">
        <f>ROUND(F38*AN38,2)</f>
        <v>0</v>
      </c>
      <c r="I38" s="21">
        <f>ROUND(F38*AO38,2)</f>
        <v>0</v>
      </c>
      <c r="J38" s="21">
        <f t="shared" si="22"/>
        <v>0</v>
      </c>
      <c r="Y38" s="21">
        <f t="shared" si="23"/>
        <v>0</v>
      </c>
      <c r="AA38" s="21">
        <f t="shared" si="24"/>
        <v>0</v>
      </c>
      <c r="AB38" s="21">
        <f t="shared" si="25"/>
        <v>0</v>
      </c>
      <c r="AC38" s="21">
        <f t="shared" si="26"/>
        <v>0</v>
      </c>
      <c r="AD38" s="21">
        <f t="shared" si="27"/>
        <v>0</v>
      </c>
      <c r="AE38" s="21">
        <f t="shared" si="28"/>
        <v>0</v>
      </c>
      <c r="AF38" s="21">
        <f t="shared" si="29"/>
        <v>0</v>
      </c>
      <c r="AG38" s="21">
        <f t="shared" si="30"/>
        <v>0</v>
      </c>
      <c r="AH38" s="9" t="s">
        <v>48</v>
      </c>
      <c r="AI38" s="21">
        <f>IF(AM38=0,J38,0)</f>
        <v>0</v>
      </c>
      <c r="AJ38" s="21">
        <f>IF(AM38=15,J38,0)</f>
        <v>0</v>
      </c>
      <c r="AK38" s="21">
        <f>IF(AM38=21,J38,0)</f>
        <v>0</v>
      </c>
      <c r="AM38" s="21">
        <v>21</v>
      </c>
      <c r="AN38" s="21">
        <f>G38*0</f>
        <v>0</v>
      </c>
      <c r="AO38" s="21">
        <f>G38*(1-0)</f>
        <v>0</v>
      </c>
      <c r="AP38" s="22" t="s">
        <v>51</v>
      </c>
      <c r="AU38" s="21">
        <f t="shared" si="31"/>
        <v>0</v>
      </c>
      <c r="AV38" s="21">
        <f>ROUND(F38*AN38,2)</f>
        <v>0</v>
      </c>
      <c r="AW38" s="21">
        <f>ROUND(F38*AO38,2)</f>
        <v>0</v>
      </c>
      <c r="AX38" s="22" t="s">
        <v>113</v>
      </c>
      <c r="AY38" s="22" t="s">
        <v>113</v>
      </c>
      <c r="AZ38" s="9" t="s">
        <v>56</v>
      </c>
      <c r="BB38" s="21">
        <f t="shared" si="32"/>
        <v>0</v>
      </c>
      <c r="BC38" s="21">
        <f>G38/(100-BD38)*100</f>
        <v>0</v>
      </c>
      <c r="BD38" s="21">
        <v>0</v>
      </c>
      <c r="BE38" s="21">
        <f>38</f>
        <v>38</v>
      </c>
      <c r="BG38" s="21">
        <f>F38*AN38</f>
        <v>0</v>
      </c>
      <c r="BH38" s="21">
        <f>F38*AO38</f>
        <v>0</v>
      </c>
      <c r="BI38" s="21">
        <f>F38*G38</f>
        <v>0</v>
      </c>
      <c r="BJ38" s="22" t="s">
        <v>57</v>
      </c>
      <c r="BK38" s="21">
        <v>16</v>
      </c>
      <c r="BV38" s="21">
        <v>21</v>
      </c>
      <c r="BW38" s="4" t="s">
        <v>131</v>
      </c>
    </row>
    <row r="39" spans="1:75" ht="35.1" customHeight="1">
      <c r="A39" s="23" t="s">
        <v>48</v>
      </c>
      <c r="B39" s="24" t="s">
        <v>110</v>
      </c>
      <c r="C39" s="68" t="s">
        <v>132</v>
      </c>
      <c r="D39" s="68"/>
      <c r="E39" s="25" t="s">
        <v>4</v>
      </c>
      <c r="F39" s="25" t="s">
        <v>4</v>
      </c>
      <c r="G39" s="25" t="s">
        <v>4</v>
      </c>
      <c r="H39" s="1">
        <f>ROUND(SUM(H40:H41),2)</f>
        <v>0</v>
      </c>
      <c r="I39" s="1">
        <f>ROUND(SUM(I40:I41),2)</f>
        <v>0</v>
      </c>
      <c r="J39" s="1">
        <f>ROUND(SUM(J40:J41),2)</f>
        <v>0</v>
      </c>
      <c r="AH39" s="9" t="s">
        <v>48</v>
      </c>
      <c r="AR39" s="1">
        <f>SUM(AI40:AI41)</f>
        <v>0</v>
      </c>
      <c r="AS39" s="1">
        <f>SUM(AJ40:AJ41)</f>
        <v>0</v>
      </c>
      <c r="AT39" s="1">
        <f>SUM(AK40:AK41)</f>
        <v>0</v>
      </c>
    </row>
    <row r="40" spans="1:75" ht="35.1" customHeight="1">
      <c r="A40" s="2" t="s">
        <v>133</v>
      </c>
      <c r="B40" s="3" t="s">
        <v>134</v>
      </c>
      <c r="C40" s="60" t="s">
        <v>135</v>
      </c>
      <c r="D40" s="60"/>
      <c r="E40" s="3" t="s">
        <v>61</v>
      </c>
      <c r="F40" s="21">
        <v>583.65</v>
      </c>
      <c r="G40" s="21">
        <v>0</v>
      </c>
      <c r="H40" s="21">
        <f>ROUND(F40*AN40,2)</f>
        <v>0</v>
      </c>
      <c r="I40" s="21">
        <f>ROUND(F40*AO40,2)</f>
        <v>0</v>
      </c>
      <c r="J40" s="21">
        <f>ROUND(F40*G40,2)</f>
        <v>0</v>
      </c>
      <c r="Y40" s="21">
        <f>ROUND(IF(AP40="5",BI40,0),2)</f>
        <v>0</v>
      </c>
      <c r="AA40" s="21">
        <f>ROUND(IF(AP40="1",BG40,0),2)</f>
        <v>0</v>
      </c>
      <c r="AB40" s="21">
        <f>ROUND(IF(AP40="1",BH40,0),2)</f>
        <v>0</v>
      </c>
      <c r="AC40" s="21">
        <f>ROUND(IF(AP40="7",BG40,0),2)</f>
        <v>0</v>
      </c>
      <c r="AD40" s="21">
        <f>ROUND(IF(AP40="7",BH40,0),2)</f>
        <v>0</v>
      </c>
      <c r="AE40" s="21">
        <f>ROUND(IF(AP40="2",BG40,0),2)</f>
        <v>0</v>
      </c>
      <c r="AF40" s="21">
        <f>ROUND(IF(AP40="2",BH40,0),2)</f>
        <v>0</v>
      </c>
      <c r="AG40" s="21">
        <f>ROUND(IF(AP40="0",BI40,0),2)</f>
        <v>0</v>
      </c>
      <c r="AH40" s="9" t="s">
        <v>48</v>
      </c>
      <c r="AI40" s="21">
        <f>IF(AM40=0,J40,0)</f>
        <v>0</v>
      </c>
      <c r="AJ40" s="21">
        <f>IF(AM40=15,J40,0)</f>
        <v>0</v>
      </c>
      <c r="AK40" s="21">
        <f>IF(AM40=21,J40,0)</f>
        <v>0</v>
      </c>
      <c r="AM40" s="21">
        <v>21</v>
      </c>
      <c r="AN40" s="21">
        <f>G40*0</f>
        <v>0</v>
      </c>
      <c r="AO40" s="21">
        <f>G40*(1-0)</f>
        <v>0</v>
      </c>
      <c r="AP40" s="22" t="s">
        <v>51</v>
      </c>
      <c r="AU40" s="21">
        <f>ROUND(AV40+AW40,2)</f>
        <v>0</v>
      </c>
      <c r="AV40" s="21">
        <f>ROUND(F40*AN40,2)</f>
        <v>0</v>
      </c>
      <c r="AW40" s="21">
        <f>ROUND(F40*AO40,2)</f>
        <v>0</v>
      </c>
      <c r="AX40" s="22" t="s">
        <v>136</v>
      </c>
      <c r="AY40" s="22" t="s">
        <v>136</v>
      </c>
      <c r="AZ40" s="9" t="s">
        <v>56</v>
      </c>
      <c r="BB40" s="21">
        <f>AV40+AW40</f>
        <v>0</v>
      </c>
      <c r="BC40" s="21">
        <f>G40/(100-BD40)*100</f>
        <v>0</v>
      </c>
      <c r="BD40" s="21">
        <v>0</v>
      </c>
      <c r="BE40" s="21">
        <f>40</f>
        <v>40</v>
      </c>
      <c r="BG40" s="21">
        <f>F40*AN40</f>
        <v>0</v>
      </c>
      <c r="BH40" s="21">
        <f>F40*AO40</f>
        <v>0</v>
      </c>
      <c r="BI40" s="21">
        <f>F40*G40</f>
        <v>0</v>
      </c>
      <c r="BJ40" s="22" t="s">
        <v>57</v>
      </c>
      <c r="BK40" s="21">
        <v>17</v>
      </c>
      <c r="BV40" s="21">
        <v>21</v>
      </c>
      <c r="BW40" s="4" t="s">
        <v>135</v>
      </c>
    </row>
    <row r="41" spans="1:75" ht="35.1" customHeight="1">
      <c r="A41" s="2" t="s">
        <v>137</v>
      </c>
      <c r="B41" s="3" t="s">
        <v>138</v>
      </c>
      <c r="C41" s="60" t="s">
        <v>139</v>
      </c>
      <c r="D41" s="60"/>
      <c r="E41" s="3" t="s">
        <v>61</v>
      </c>
      <c r="F41" s="21">
        <v>1676.12</v>
      </c>
      <c r="G41" s="21">
        <v>0</v>
      </c>
      <c r="H41" s="21">
        <f>ROUND(F41*AN41,2)</f>
        <v>0</v>
      </c>
      <c r="I41" s="21">
        <f>ROUND(F41*AO41,2)</f>
        <v>0</v>
      </c>
      <c r="J41" s="21">
        <f>ROUND(F41*G41,2)</f>
        <v>0</v>
      </c>
      <c r="Y41" s="21">
        <f>ROUND(IF(AP41="5",BI41,0),2)</f>
        <v>0</v>
      </c>
      <c r="AA41" s="21">
        <f>ROUND(IF(AP41="1",BG41,0),2)</f>
        <v>0</v>
      </c>
      <c r="AB41" s="21">
        <f>ROUND(IF(AP41="1",BH41,0),2)</f>
        <v>0</v>
      </c>
      <c r="AC41" s="21">
        <f>ROUND(IF(AP41="7",BG41,0),2)</f>
        <v>0</v>
      </c>
      <c r="AD41" s="21">
        <f>ROUND(IF(AP41="7",BH41,0),2)</f>
        <v>0</v>
      </c>
      <c r="AE41" s="21">
        <f>ROUND(IF(AP41="2",BG41,0),2)</f>
        <v>0</v>
      </c>
      <c r="AF41" s="21">
        <f>ROUND(IF(AP41="2",BH41,0),2)</f>
        <v>0</v>
      </c>
      <c r="AG41" s="21">
        <f>ROUND(IF(AP41="0",BI41,0),2)</f>
        <v>0</v>
      </c>
      <c r="AH41" s="9" t="s">
        <v>48</v>
      </c>
      <c r="AI41" s="21">
        <f>IF(AM41=0,J41,0)</f>
        <v>0</v>
      </c>
      <c r="AJ41" s="21">
        <f>IF(AM41=15,J41,0)</f>
        <v>0</v>
      </c>
      <c r="AK41" s="21">
        <f>IF(AM41=21,J41,0)</f>
        <v>0</v>
      </c>
      <c r="AM41" s="21">
        <v>21</v>
      </c>
      <c r="AN41" s="21">
        <f>G41*0</f>
        <v>0</v>
      </c>
      <c r="AO41" s="21">
        <f>G41*(1-0)</f>
        <v>0</v>
      </c>
      <c r="AP41" s="22" t="s">
        <v>51</v>
      </c>
      <c r="AU41" s="21">
        <f>ROUND(AV41+AW41,2)</f>
        <v>0</v>
      </c>
      <c r="AV41" s="21">
        <f>ROUND(F41*AN41,2)</f>
        <v>0</v>
      </c>
      <c r="AW41" s="21">
        <f>ROUND(F41*AO41,2)</f>
        <v>0</v>
      </c>
      <c r="AX41" s="22" t="s">
        <v>136</v>
      </c>
      <c r="AY41" s="22" t="s">
        <v>136</v>
      </c>
      <c r="AZ41" s="9" t="s">
        <v>56</v>
      </c>
      <c r="BB41" s="21">
        <f>AV41+AW41</f>
        <v>0</v>
      </c>
      <c r="BC41" s="21">
        <f>G41/(100-BD41)*100</f>
        <v>0</v>
      </c>
      <c r="BD41" s="21">
        <v>0</v>
      </c>
      <c r="BE41" s="21">
        <f>41</f>
        <v>41</v>
      </c>
      <c r="BG41" s="21">
        <f>F41*AN41</f>
        <v>0</v>
      </c>
      <c r="BH41" s="21">
        <f>F41*AO41</f>
        <v>0</v>
      </c>
      <c r="BI41" s="21">
        <f>F41*G41</f>
        <v>0</v>
      </c>
      <c r="BJ41" s="22" t="s">
        <v>57</v>
      </c>
      <c r="BK41" s="21">
        <v>17</v>
      </c>
      <c r="BV41" s="21">
        <v>21</v>
      </c>
      <c r="BW41" s="4" t="s">
        <v>139</v>
      </c>
    </row>
    <row r="42" spans="1:75" ht="35.1" customHeight="1">
      <c r="A42" s="23" t="s">
        <v>48</v>
      </c>
      <c r="B42" s="24" t="s">
        <v>114</v>
      </c>
      <c r="C42" s="68" t="s">
        <v>140</v>
      </c>
      <c r="D42" s="68"/>
      <c r="E42" s="25" t="s">
        <v>4</v>
      </c>
      <c r="F42" s="25" t="s">
        <v>4</v>
      </c>
      <c r="G42" s="25" t="s">
        <v>4</v>
      </c>
      <c r="H42" s="1">
        <f>ROUND(SUM(H43:H50),2)</f>
        <v>0</v>
      </c>
      <c r="I42" s="1">
        <f>ROUND(SUM(I43:I50),2)</f>
        <v>0</v>
      </c>
      <c r="J42" s="1">
        <f>ROUND(SUM(J43:J50),2)</f>
        <v>0</v>
      </c>
      <c r="AH42" s="9" t="s">
        <v>48</v>
      </c>
      <c r="AR42" s="1">
        <f>SUM(AI43:AI50)</f>
        <v>0</v>
      </c>
      <c r="AS42" s="1">
        <f>SUM(AJ43:AJ50)</f>
        <v>0</v>
      </c>
      <c r="AT42" s="1">
        <f>SUM(AK43:AK50)</f>
        <v>0</v>
      </c>
    </row>
    <row r="43" spans="1:75" ht="35.1" customHeight="1">
      <c r="A43" s="2" t="s">
        <v>141</v>
      </c>
      <c r="B43" s="3" t="s">
        <v>142</v>
      </c>
      <c r="C43" s="60" t="s">
        <v>143</v>
      </c>
      <c r="D43" s="60"/>
      <c r="E43" s="3" t="s">
        <v>144</v>
      </c>
      <c r="F43" s="21">
        <v>1482.9</v>
      </c>
      <c r="G43" s="21">
        <v>0</v>
      </c>
      <c r="H43" s="21">
        <f>ROUND(F43*AN43,2)</f>
        <v>0</v>
      </c>
      <c r="I43" s="21">
        <f>ROUND(F43*AO43,2)</f>
        <v>0</v>
      </c>
      <c r="J43" s="21">
        <f t="shared" ref="J43:J50" si="33">ROUND(F43*G43,2)</f>
        <v>0</v>
      </c>
      <c r="Y43" s="21">
        <f t="shared" ref="Y43:Y50" si="34">ROUND(IF(AP43="5",BI43,0),2)</f>
        <v>0</v>
      </c>
      <c r="AA43" s="21">
        <f t="shared" ref="AA43:AA50" si="35">ROUND(IF(AP43="1",BG43,0),2)</f>
        <v>0</v>
      </c>
      <c r="AB43" s="21">
        <f t="shared" ref="AB43:AB50" si="36">ROUND(IF(AP43="1",BH43,0),2)</f>
        <v>0</v>
      </c>
      <c r="AC43" s="21">
        <f t="shared" ref="AC43:AC50" si="37">ROUND(IF(AP43="7",BG43,0),2)</f>
        <v>0</v>
      </c>
      <c r="AD43" s="21">
        <f t="shared" ref="AD43:AD50" si="38">ROUND(IF(AP43="7",BH43,0),2)</f>
        <v>0</v>
      </c>
      <c r="AE43" s="21">
        <f t="shared" ref="AE43:AE50" si="39">ROUND(IF(AP43="2",BG43,0),2)</f>
        <v>0</v>
      </c>
      <c r="AF43" s="21">
        <f t="shared" ref="AF43:AF50" si="40">ROUND(IF(AP43="2",BH43,0),2)</f>
        <v>0</v>
      </c>
      <c r="AG43" s="21">
        <f t="shared" ref="AG43:AG50" si="41">ROUND(IF(AP43="0",BI43,0),2)</f>
        <v>0</v>
      </c>
      <c r="AH43" s="9" t="s">
        <v>48</v>
      </c>
      <c r="AI43" s="21">
        <f>IF(AM43=0,J43,0)</f>
        <v>0</v>
      </c>
      <c r="AJ43" s="21">
        <f>IF(AM43=15,J43,0)</f>
        <v>0</v>
      </c>
      <c r="AK43" s="21">
        <f>IF(AM43=21,J43,0)</f>
        <v>0</v>
      </c>
      <c r="AM43" s="21">
        <v>21</v>
      </c>
      <c r="AN43" s="21">
        <f>G43*0</f>
        <v>0</v>
      </c>
      <c r="AO43" s="21">
        <f>G43*(1-0)</f>
        <v>0</v>
      </c>
      <c r="AP43" s="22" t="s">
        <v>51</v>
      </c>
      <c r="AU43" s="21">
        <f t="shared" ref="AU43:AU50" si="42">ROUND(AV43+AW43,2)</f>
        <v>0</v>
      </c>
      <c r="AV43" s="21">
        <f>ROUND(F43*AN43,2)</f>
        <v>0</v>
      </c>
      <c r="AW43" s="21">
        <f>ROUND(F43*AO43,2)</f>
        <v>0</v>
      </c>
      <c r="AX43" s="22" t="s">
        <v>145</v>
      </c>
      <c r="AY43" s="22" t="s">
        <v>145</v>
      </c>
      <c r="AZ43" s="9" t="s">
        <v>56</v>
      </c>
      <c r="BB43" s="21">
        <f t="shared" ref="BB43:BB50" si="43">AV43+AW43</f>
        <v>0</v>
      </c>
      <c r="BC43" s="21">
        <f>G43/(100-BD43)*100</f>
        <v>0</v>
      </c>
      <c r="BD43" s="21">
        <v>0</v>
      </c>
      <c r="BE43" s="21">
        <f>43</f>
        <v>43</v>
      </c>
      <c r="BG43" s="21">
        <f>F43*AN43</f>
        <v>0</v>
      </c>
      <c r="BH43" s="21">
        <f>F43*AO43</f>
        <v>0</v>
      </c>
      <c r="BI43" s="21">
        <f>F43*G43</f>
        <v>0</v>
      </c>
      <c r="BJ43" s="22" t="s">
        <v>57</v>
      </c>
      <c r="BK43" s="21">
        <v>18</v>
      </c>
      <c r="BV43" s="21">
        <v>21</v>
      </c>
      <c r="BW43" s="4" t="s">
        <v>143</v>
      </c>
    </row>
    <row r="44" spans="1:75" ht="35.1" customHeight="1">
      <c r="A44" s="2" t="s">
        <v>146</v>
      </c>
      <c r="B44" s="3" t="s">
        <v>147</v>
      </c>
      <c r="C44" s="60" t="s">
        <v>148</v>
      </c>
      <c r="D44" s="60"/>
      <c r="E44" s="3" t="s">
        <v>144</v>
      </c>
      <c r="F44" s="21">
        <v>822</v>
      </c>
      <c r="G44" s="21">
        <v>0</v>
      </c>
      <c r="H44" s="21">
        <f>ROUND(F44*AN44,2)</f>
        <v>0</v>
      </c>
      <c r="I44" s="21">
        <f>ROUND(F44*AO44,2)</f>
        <v>0</v>
      </c>
      <c r="J44" s="21">
        <f t="shared" si="33"/>
        <v>0</v>
      </c>
      <c r="Y44" s="21">
        <f t="shared" si="34"/>
        <v>0</v>
      </c>
      <c r="AA44" s="21">
        <f t="shared" si="35"/>
        <v>0</v>
      </c>
      <c r="AB44" s="21">
        <f t="shared" si="36"/>
        <v>0</v>
      </c>
      <c r="AC44" s="21">
        <f t="shared" si="37"/>
        <v>0</v>
      </c>
      <c r="AD44" s="21">
        <f t="shared" si="38"/>
        <v>0</v>
      </c>
      <c r="AE44" s="21">
        <f t="shared" si="39"/>
        <v>0</v>
      </c>
      <c r="AF44" s="21">
        <f t="shared" si="40"/>
        <v>0</v>
      </c>
      <c r="AG44" s="21">
        <f t="shared" si="41"/>
        <v>0</v>
      </c>
      <c r="AH44" s="9" t="s">
        <v>48</v>
      </c>
      <c r="AI44" s="21">
        <f>IF(AM44=0,J44,0)</f>
        <v>0</v>
      </c>
      <c r="AJ44" s="21">
        <f>IF(AM44=15,J44,0)</f>
        <v>0</v>
      </c>
      <c r="AK44" s="21">
        <f>IF(AM44=21,J44,0)</f>
        <v>0</v>
      </c>
      <c r="AM44" s="21">
        <v>21</v>
      </c>
      <c r="AN44" s="21">
        <f>G44*0</f>
        <v>0</v>
      </c>
      <c r="AO44" s="21">
        <f>G44*(1-0)</f>
        <v>0</v>
      </c>
      <c r="AP44" s="22" t="s">
        <v>51</v>
      </c>
      <c r="AU44" s="21">
        <f t="shared" si="42"/>
        <v>0</v>
      </c>
      <c r="AV44" s="21">
        <f>ROUND(F44*AN44,2)</f>
        <v>0</v>
      </c>
      <c r="AW44" s="21">
        <f>ROUND(F44*AO44,2)</f>
        <v>0</v>
      </c>
      <c r="AX44" s="22" t="s">
        <v>145</v>
      </c>
      <c r="AY44" s="22" t="s">
        <v>145</v>
      </c>
      <c r="AZ44" s="9" t="s">
        <v>56</v>
      </c>
      <c r="BB44" s="21">
        <f t="shared" si="43"/>
        <v>0</v>
      </c>
      <c r="BC44" s="21">
        <f>G44/(100-BD44)*100</f>
        <v>0</v>
      </c>
      <c r="BD44" s="21">
        <v>0</v>
      </c>
      <c r="BE44" s="21">
        <f>44</f>
        <v>44</v>
      </c>
      <c r="BG44" s="21">
        <f>F44*AN44</f>
        <v>0</v>
      </c>
      <c r="BH44" s="21">
        <f>F44*AO44</f>
        <v>0</v>
      </c>
      <c r="BI44" s="21">
        <f>F44*G44</f>
        <v>0</v>
      </c>
      <c r="BJ44" s="22" t="s">
        <v>57</v>
      </c>
      <c r="BK44" s="21">
        <v>18</v>
      </c>
      <c r="BV44" s="21">
        <v>21</v>
      </c>
      <c r="BW44" s="4" t="s">
        <v>148</v>
      </c>
    </row>
    <row r="45" spans="1:75" ht="35.1" customHeight="1">
      <c r="A45" s="2" t="s">
        <v>149</v>
      </c>
      <c r="B45" s="3" t="s">
        <v>150</v>
      </c>
      <c r="C45" s="60" t="s">
        <v>151</v>
      </c>
      <c r="D45" s="60"/>
      <c r="E45" s="3" t="s">
        <v>144</v>
      </c>
      <c r="F45" s="21">
        <v>609</v>
      </c>
      <c r="G45" s="21">
        <v>0</v>
      </c>
      <c r="H45" s="21">
        <f>ROUND(F45*AN45,2)</f>
        <v>0</v>
      </c>
      <c r="I45" s="21">
        <f>ROUND(F45*AO45,2)</f>
        <v>0</v>
      </c>
      <c r="J45" s="21">
        <f t="shared" si="33"/>
        <v>0</v>
      </c>
      <c r="Y45" s="21">
        <f t="shared" si="34"/>
        <v>0</v>
      </c>
      <c r="AA45" s="21">
        <f t="shared" si="35"/>
        <v>0</v>
      </c>
      <c r="AB45" s="21">
        <f t="shared" si="36"/>
        <v>0</v>
      </c>
      <c r="AC45" s="21">
        <f t="shared" si="37"/>
        <v>0</v>
      </c>
      <c r="AD45" s="21">
        <f t="shared" si="38"/>
        <v>0</v>
      </c>
      <c r="AE45" s="21">
        <f t="shared" si="39"/>
        <v>0</v>
      </c>
      <c r="AF45" s="21">
        <f t="shared" si="40"/>
        <v>0</v>
      </c>
      <c r="AG45" s="21">
        <f t="shared" si="41"/>
        <v>0</v>
      </c>
      <c r="AH45" s="9" t="s">
        <v>48</v>
      </c>
      <c r="AI45" s="21">
        <f>IF(AM45=0,J45,0)</f>
        <v>0</v>
      </c>
      <c r="AJ45" s="21">
        <f>IF(AM45=15,J45,0)</f>
        <v>0</v>
      </c>
      <c r="AK45" s="21">
        <f>IF(AM45=21,J45,0)</f>
        <v>0</v>
      </c>
      <c r="AM45" s="21">
        <v>21</v>
      </c>
      <c r="AN45" s="21">
        <f>G45*0</f>
        <v>0</v>
      </c>
      <c r="AO45" s="21">
        <f>G45*(1-0)</f>
        <v>0</v>
      </c>
      <c r="AP45" s="22" t="s">
        <v>51</v>
      </c>
      <c r="AU45" s="21">
        <f t="shared" si="42"/>
        <v>0</v>
      </c>
      <c r="AV45" s="21">
        <f>ROUND(F45*AN45,2)</f>
        <v>0</v>
      </c>
      <c r="AW45" s="21">
        <f>ROUND(F45*AO45,2)</f>
        <v>0</v>
      </c>
      <c r="AX45" s="22" t="s">
        <v>145</v>
      </c>
      <c r="AY45" s="22" t="s">
        <v>145</v>
      </c>
      <c r="AZ45" s="9" t="s">
        <v>56</v>
      </c>
      <c r="BB45" s="21">
        <f t="shared" si="43"/>
        <v>0</v>
      </c>
      <c r="BC45" s="21">
        <f>G45/(100-BD45)*100</f>
        <v>0</v>
      </c>
      <c r="BD45" s="21">
        <v>0</v>
      </c>
      <c r="BE45" s="21">
        <f>45</f>
        <v>45</v>
      </c>
      <c r="BG45" s="21">
        <f>F45*AN45</f>
        <v>0</v>
      </c>
      <c r="BH45" s="21">
        <f>F45*AO45</f>
        <v>0</v>
      </c>
      <c r="BI45" s="21">
        <f>F45*G45</f>
        <v>0</v>
      </c>
      <c r="BJ45" s="22" t="s">
        <v>57</v>
      </c>
      <c r="BK45" s="21">
        <v>18</v>
      </c>
      <c r="BV45" s="21">
        <v>21</v>
      </c>
      <c r="BW45" s="4" t="s">
        <v>151</v>
      </c>
    </row>
    <row r="46" spans="1:75" ht="35.1" customHeight="1">
      <c r="A46" s="2" t="s">
        <v>152</v>
      </c>
      <c r="B46" s="3" t="s">
        <v>153</v>
      </c>
      <c r="C46" s="60" t="s">
        <v>154</v>
      </c>
      <c r="D46" s="60"/>
      <c r="E46" s="3" t="s">
        <v>144</v>
      </c>
      <c r="F46" s="21">
        <v>822</v>
      </c>
      <c r="G46" s="21">
        <v>0</v>
      </c>
      <c r="H46" s="21">
        <f>ROUND(F46*AN46,2)</f>
        <v>0</v>
      </c>
      <c r="I46" s="21">
        <f>ROUND(F46*AO46,2)</f>
        <v>0</v>
      </c>
      <c r="J46" s="21">
        <f t="shared" si="33"/>
        <v>0</v>
      </c>
      <c r="Y46" s="21">
        <f t="shared" si="34"/>
        <v>0</v>
      </c>
      <c r="AA46" s="21">
        <f t="shared" si="35"/>
        <v>0</v>
      </c>
      <c r="AB46" s="21">
        <f t="shared" si="36"/>
        <v>0</v>
      </c>
      <c r="AC46" s="21">
        <f t="shared" si="37"/>
        <v>0</v>
      </c>
      <c r="AD46" s="21">
        <f t="shared" si="38"/>
        <v>0</v>
      </c>
      <c r="AE46" s="21">
        <f t="shared" si="39"/>
        <v>0</v>
      </c>
      <c r="AF46" s="21">
        <f t="shared" si="40"/>
        <v>0</v>
      </c>
      <c r="AG46" s="21">
        <f t="shared" si="41"/>
        <v>0</v>
      </c>
      <c r="AH46" s="9" t="s">
        <v>48</v>
      </c>
      <c r="AI46" s="21">
        <f>IF(AM46=0,J46,0)</f>
        <v>0</v>
      </c>
      <c r="AJ46" s="21">
        <f>IF(AM46=15,J46,0)</f>
        <v>0</v>
      </c>
      <c r="AK46" s="21">
        <f>IF(AM46=21,J46,0)</f>
        <v>0</v>
      </c>
      <c r="AM46" s="21">
        <v>21</v>
      </c>
      <c r="AN46" s="21">
        <f>G46*0.064325843</f>
        <v>0</v>
      </c>
      <c r="AO46" s="21">
        <f>G46*(1-0.064325843)</f>
        <v>0</v>
      </c>
      <c r="AP46" s="22" t="s">
        <v>51</v>
      </c>
      <c r="AU46" s="21">
        <f t="shared" si="42"/>
        <v>0</v>
      </c>
      <c r="AV46" s="21">
        <f>ROUND(F46*AN46,2)</f>
        <v>0</v>
      </c>
      <c r="AW46" s="21">
        <f>ROUND(F46*AO46,2)</f>
        <v>0</v>
      </c>
      <c r="AX46" s="22" t="s">
        <v>145</v>
      </c>
      <c r="AY46" s="22" t="s">
        <v>145</v>
      </c>
      <c r="AZ46" s="9" t="s">
        <v>56</v>
      </c>
      <c r="BB46" s="21">
        <f t="shared" si="43"/>
        <v>0</v>
      </c>
      <c r="BC46" s="21">
        <f>G46/(100-BD46)*100</f>
        <v>0</v>
      </c>
      <c r="BD46" s="21">
        <v>0</v>
      </c>
      <c r="BE46" s="21">
        <f>46</f>
        <v>46</v>
      </c>
      <c r="BG46" s="21">
        <f>F46*AN46</f>
        <v>0</v>
      </c>
      <c r="BH46" s="21">
        <f>F46*AO46</f>
        <v>0</v>
      </c>
      <c r="BI46" s="21">
        <f>F46*G46</f>
        <v>0</v>
      </c>
      <c r="BJ46" s="22" t="s">
        <v>57</v>
      </c>
      <c r="BK46" s="21">
        <v>18</v>
      </c>
      <c r="BV46" s="21">
        <v>21</v>
      </c>
      <c r="BW46" s="4" t="s">
        <v>154</v>
      </c>
    </row>
    <row r="47" spans="1:75" ht="35.1" customHeight="1">
      <c r="A47" s="2" t="s">
        <v>155</v>
      </c>
      <c r="B47" s="3" t="s">
        <v>156</v>
      </c>
      <c r="C47" s="60" t="s">
        <v>157</v>
      </c>
      <c r="D47" s="60"/>
      <c r="E47" s="3" t="s">
        <v>144</v>
      </c>
      <c r="F47" s="21">
        <v>609</v>
      </c>
      <c r="G47" s="21">
        <v>0</v>
      </c>
      <c r="H47" s="21">
        <f>ROUND(F47*AN47,2)</f>
        <v>0</v>
      </c>
      <c r="I47" s="21">
        <f>ROUND(F47*AO47,2)</f>
        <v>0</v>
      </c>
      <c r="J47" s="21">
        <f t="shared" si="33"/>
        <v>0</v>
      </c>
      <c r="Y47" s="21">
        <f t="shared" si="34"/>
        <v>0</v>
      </c>
      <c r="AA47" s="21">
        <f t="shared" si="35"/>
        <v>0</v>
      </c>
      <c r="AB47" s="21">
        <f t="shared" si="36"/>
        <v>0</v>
      </c>
      <c r="AC47" s="21">
        <f t="shared" si="37"/>
        <v>0</v>
      </c>
      <c r="AD47" s="21">
        <f t="shared" si="38"/>
        <v>0</v>
      </c>
      <c r="AE47" s="21">
        <f t="shared" si="39"/>
        <v>0</v>
      </c>
      <c r="AF47" s="21">
        <f t="shared" si="40"/>
        <v>0</v>
      </c>
      <c r="AG47" s="21">
        <f t="shared" si="41"/>
        <v>0</v>
      </c>
      <c r="AH47" s="9" t="s">
        <v>48</v>
      </c>
      <c r="AI47" s="21">
        <f>IF(AM47=0,J47,0)</f>
        <v>0</v>
      </c>
      <c r="AJ47" s="21">
        <f>IF(AM47=15,J47,0)</f>
        <v>0</v>
      </c>
      <c r="AK47" s="21">
        <f>IF(AM47=21,J47,0)</f>
        <v>0</v>
      </c>
      <c r="AM47" s="21">
        <v>21</v>
      </c>
      <c r="AN47" s="21">
        <f>G47*0.041636364</f>
        <v>0</v>
      </c>
      <c r="AO47" s="21">
        <f>G47*(1-0.041636364)</f>
        <v>0</v>
      </c>
      <c r="AP47" s="22" t="s">
        <v>51</v>
      </c>
      <c r="AU47" s="21">
        <f t="shared" si="42"/>
        <v>0</v>
      </c>
      <c r="AV47" s="21">
        <f>ROUND(F47*AN47,2)</f>
        <v>0</v>
      </c>
      <c r="AW47" s="21">
        <f>ROUND(F47*AO47,2)</f>
        <v>0</v>
      </c>
      <c r="AX47" s="22" t="s">
        <v>145</v>
      </c>
      <c r="AY47" s="22" t="s">
        <v>145</v>
      </c>
      <c r="AZ47" s="9" t="s">
        <v>56</v>
      </c>
      <c r="BB47" s="21">
        <f t="shared" si="43"/>
        <v>0</v>
      </c>
      <c r="BC47" s="21">
        <f>G47/(100-BD47)*100</f>
        <v>0</v>
      </c>
      <c r="BD47" s="21">
        <v>0</v>
      </c>
      <c r="BE47" s="21">
        <f>47</f>
        <v>47</v>
      </c>
      <c r="BG47" s="21">
        <f>F47*AN47</f>
        <v>0</v>
      </c>
      <c r="BH47" s="21">
        <f>F47*AO47</f>
        <v>0</v>
      </c>
      <c r="BI47" s="21">
        <f>F47*G47</f>
        <v>0</v>
      </c>
      <c r="BJ47" s="22" t="s">
        <v>57</v>
      </c>
      <c r="BK47" s="21">
        <v>18</v>
      </c>
      <c r="BV47" s="21">
        <v>21</v>
      </c>
      <c r="BW47" s="4" t="s">
        <v>157</v>
      </c>
    </row>
    <row r="48" spans="1:75" ht="35.1" customHeight="1">
      <c r="A48" s="2" t="s">
        <v>158</v>
      </c>
      <c r="B48" s="3" t="s">
        <v>159</v>
      </c>
      <c r="C48" s="60" t="s">
        <v>160</v>
      </c>
      <c r="D48" s="60"/>
      <c r="E48" s="3" t="s">
        <v>161</v>
      </c>
      <c r="F48" s="21">
        <v>44.22</v>
      </c>
      <c r="G48" s="21">
        <v>0</v>
      </c>
      <c r="H48" s="21">
        <f>ROUND(F48*AN48,2)</f>
        <v>0</v>
      </c>
      <c r="I48" s="21">
        <f>ROUND(F48*AO48,2)</f>
        <v>0</v>
      </c>
      <c r="J48" s="21">
        <f t="shared" si="33"/>
        <v>0</v>
      </c>
      <c r="Y48" s="21">
        <f t="shared" si="34"/>
        <v>0</v>
      </c>
      <c r="AA48" s="21">
        <f t="shared" si="35"/>
        <v>0</v>
      </c>
      <c r="AB48" s="21">
        <f t="shared" si="36"/>
        <v>0</v>
      </c>
      <c r="AC48" s="21">
        <f t="shared" si="37"/>
        <v>0</v>
      </c>
      <c r="AD48" s="21">
        <f t="shared" si="38"/>
        <v>0</v>
      </c>
      <c r="AE48" s="21">
        <f t="shared" si="39"/>
        <v>0</v>
      </c>
      <c r="AF48" s="21">
        <f t="shared" si="40"/>
        <v>0</v>
      </c>
      <c r="AG48" s="21">
        <f t="shared" si="41"/>
        <v>0</v>
      </c>
      <c r="AH48" s="9" t="s">
        <v>48</v>
      </c>
      <c r="AI48" s="21">
        <f>IF(AM48=0,J48,0)</f>
        <v>0</v>
      </c>
      <c r="AJ48" s="21">
        <f>IF(AM48=15,J48,0)</f>
        <v>0</v>
      </c>
      <c r="AK48" s="21">
        <f>IF(AM48=21,J48,0)</f>
        <v>0</v>
      </c>
      <c r="AM48" s="21">
        <v>21</v>
      </c>
      <c r="AN48" s="21">
        <f>G48*1</f>
        <v>0</v>
      </c>
      <c r="AO48" s="21">
        <f>G48*(1-1)</f>
        <v>0</v>
      </c>
      <c r="AP48" s="22" t="s">
        <v>51</v>
      </c>
      <c r="AU48" s="21">
        <f t="shared" si="42"/>
        <v>0</v>
      </c>
      <c r="AV48" s="21">
        <f>ROUND(F48*AN48,2)</f>
        <v>0</v>
      </c>
      <c r="AW48" s="21">
        <f>ROUND(F48*AO48,2)</f>
        <v>0</v>
      </c>
      <c r="AX48" s="22" t="s">
        <v>145</v>
      </c>
      <c r="AY48" s="22" t="s">
        <v>145</v>
      </c>
      <c r="AZ48" s="9" t="s">
        <v>56</v>
      </c>
      <c r="BB48" s="21">
        <f t="shared" si="43"/>
        <v>0</v>
      </c>
      <c r="BC48" s="21">
        <f>G48/(100-BD48)*100</f>
        <v>0</v>
      </c>
      <c r="BD48" s="21">
        <v>0</v>
      </c>
      <c r="BE48" s="21">
        <f>48</f>
        <v>48</v>
      </c>
      <c r="BG48" s="21">
        <f>F48*AN48</f>
        <v>0</v>
      </c>
      <c r="BH48" s="21">
        <f>F48*AO48</f>
        <v>0</v>
      </c>
      <c r="BI48" s="21">
        <f>F48*G48</f>
        <v>0</v>
      </c>
      <c r="BJ48" s="22" t="s">
        <v>66</v>
      </c>
      <c r="BK48" s="21">
        <v>18</v>
      </c>
      <c r="BV48" s="21">
        <v>21</v>
      </c>
      <c r="BW48" s="4" t="s">
        <v>160</v>
      </c>
    </row>
    <row r="49" spans="1:75" ht="35.1" customHeight="1">
      <c r="A49" s="2" t="s">
        <v>162</v>
      </c>
      <c r="B49" s="3" t="s">
        <v>163</v>
      </c>
      <c r="C49" s="60" t="s">
        <v>164</v>
      </c>
      <c r="D49" s="60"/>
      <c r="E49" s="3" t="s">
        <v>144</v>
      </c>
      <c r="F49" s="21">
        <v>609</v>
      </c>
      <c r="G49" s="21">
        <v>0</v>
      </c>
      <c r="H49" s="21">
        <f>ROUND(F49*AN49,2)</f>
        <v>0</v>
      </c>
      <c r="I49" s="21">
        <f>ROUND(F49*AO49,2)</f>
        <v>0</v>
      </c>
      <c r="J49" s="21">
        <f t="shared" si="33"/>
        <v>0</v>
      </c>
      <c r="Y49" s="21">
        <f t="shared" si="34"/>
        <v>0</v>
      </c>
      <c r="AA49" s="21">
        <f t="shared" si="35"/>
        <v>0</v>
      </c>
      <c r="AB49" s="21">
        <f t="shared" si="36"/>
        <v>0</v>
      </c>
      <c r="AC49" s="21">
        <f t="shared" si="37"/>
        <v>0</v>
      </c>
      <c r="AD49" s="21">
        <f t="shared" si="38"/>
        <v>0</v>
      </c>
      <c r="AE49" s="21">
        <f t="shared" si="39"/>
        <v>0</v>
      </c>
      <c r="AF49" s="21">
        <f t="shared" si="40"/>
        <v>0</v>
      </c>
      <c r="AG49" s="21">
        <f t="shared" si="41"/>
        <v>0</v>
      </c>
      <c r="AH49" s="9" t="s">
        <v>48</v>
      </c>
      <c r="AI49" s="21">
        <f>IF(AM49=0,J49,0)</f>
        <v>0</v>
      </c>
      <c r="AJ49" s="21">
        <f>IF(AM49=15,J49,0)</f>
        <v>0</v>
      </c>
      <c r="AK49" s="21">
        <f>IF(AM49=21,J49,0)</f>
        <v>0</v>
      </c>
      <c r="AM49" s="21">
        <v>21</v>
      </c>
      <c r="AN49" s="21">
        <f>G49*0</f>
        <v>0</v>
      </c>
      <c r="AO49" s="21">
        <f>G49*(1-0)</f>
        <v>0</v>
      </c>
      <c r="AP49" s="22" t="s">
        <v>51</v>
      </c>
      <c r="AU49" s="21">
        <f t="shared" si="42"/>
        <v>0</v>
      </c>
      <c r="AV49" s="21">
        <f>ROUND(F49*AN49,2)</f>
        <v>0</v>
      </c>
      <c r="AW49" s="21">
        <f>ROUND(F49*AO49,2)</f>
        <v>0</v>
      </c>
      <c r="AX49" s="22" t="s">
        <v>145</v>
      </c>
      <c r="AY49" s="22" t="s">
        <v>145</v>
      </c>
      <c r="AZ49" s="9" t="s">
        <v>56</v>
      </c>
      <c r="BB49" s="21">
        <f t="shared" si="43"/>
        <v>0</v>
      </c>
      <c r="BC49" s="21">
        <f>G49/(100-BD49)*100</f>
        <v>0</v>
      </c>
      <c r="BD49" s="21">
        <v>0</v>
      </c>
      <c r="BE49" s="21">
        <f>49</f>
        <v>49</v>
      </c>
      <c r="BG49" s="21">
        <f>F49*AN49</f>
        <v>0</v>
      </c>
      <c r="BH49" s="21">
        <f>F49*AO49</f>
        <v>0</v>
      </c>
      <c r="BI49" s="21">
        <f>F49*G49</f>
        <v>0</v>
      </c>
      <c r="BJ49" s="22" t="s">
        <v>57</v>
      </c>
      <c r="BK49" s="21">
        <v>18</v>
      </c>
      <c r="BV49" s="21">
        <v>21</v>
      </c>
      <c r="BW49" s="4" t="s">
        <v>164</v>
      </c>
    </row>
    <row r="50" spans="1:75" ht="35.1" customHeight="1">
      <c r="A50" s="2" t="s">
        <v>165</v>
      </c>
      <c r="B50" s="3" t="s">
        <v>166</v>
      </c>
      <c r="C50" s="60" t="s">
        <v>167</v>
      </c>
      <c r="D50" s="60"/>
      <c r="E50" s="3" t="s">
        <v>144</v>
      </c>
      <c r="F50" s="21">
        <v>16360</v>
      </c>
      <c r="G50" s="21">
        <v>0</v>
      </c>
      <c r="H50" s="21">
        <f>ROUND(F50*AN50,2)</f>
        <v>0</v>
      </c>
      <c r="I50" s="21">
        <f>ROUND(F50*AO50,2)</f>
        <v>0</v>
      </c>
      <c r="J50" s="21">
        <f t="shared" si="33"/>
        <v>0</v>
      </c>
      <c r="Y50" s="21">
        <f t="shared" si="34"/>
        <v>0</v>
      </c>
      <c r="AA50" s="21">
        <f t="shared" si="35"/>
        <v>0</v>
      </c>
      <c r="AB50" s="21">
        <f t="shared" si="36"/>
        <v>0</v>
      </c>
      <c r="AC50" s="21">
        <f t="shared" si="37"/>
        <v>0</v>
      </c>
      <c r="AD50" s="21">
        <f t="shared" si="38"/>
        <v>0</v>
      </c>
      <c r="AE50" s="21">
        <f t="shared" si="39"/>
        <v>0</v>
      </c>
      <c r="AF50" s="21">
        <f t="shared" si="40"/>
        <v>0</v>
      </c>
      <c r="AG50" s="21">
        <f t="shared" si="41"/>
        <v>0</v>
      </c>
      <c r="AH50" s="9" t="s">
        <v>48</v>
      </c>
      <c r="AI50" s="21">
        <f>IF(AM50=0,J50,0)</f>
        <v>0</v>
      </c>
      <c r="AJ50" s="21">
        <f>IF(AM50=15,J50,0)</f>
        <v>0</v>
      </c>
      <c r="AK50" s="21">
        <f>IF(AM50=21,J50,0)</f>
        <v>0</v>
      </c>
      <c r="AM50" s="21">
        <v>21</v>
      </c>
      <c r="AN50" s="21">
        <f>G50*0</f>
        <v>0</v>
      </c>
      <c r="AO50" s="21">
        <f>G50*(1-0)</f>
        <v>0</v>
      </c>
      <c r="AP50" s="22" t="s">
        <v>51</v>
      </c>
      <c r="AU50" s="21">
        <f t="shared" si="42"/>
        <v>0</v>
      </c>
      <c r="AV50" s="21">
        <f>ROUND(F50*AN50,2)</f>
        <v>0</v>
      </c>
      <c r="AW50" s="21">
        <f>ROUND(F50*AO50,2)</f>
        <v>0</v>
      </c>
      <c r="AX50" s="22" t="s">
        <v>145</v>
      </c>
      <c r="AY50" s="22" t="s">
        <v>145</v>
      </c>
      <c r="AZ50" s="9" t="s">
        <v>56</v>
      </c>
      <c r="BB50" s="21">
        <f t="shared" si="43"/>
        <v>0</v>
      </c>
      <c r="BC50" s="21">
        <f>G50/(100-BD50)*100</f>
        <v>0</v>
      </c>
      <c r="BD50" s="21">
        <v>0</v>
      </c>
      <c r="BE50" s="21">
        <f>50</f>
        <v>50</v>
      </c>
      <c r="BG50" s="21">
        <f>F50*AN50</f>
        <v>0</v>
      </c>
      <c r="BH50" s="21">
        <f>F50*AO50</f>
        <v>0</v>
      </c>
      <c r="BI50" s="21">
        <f>F50*G50</f>
        <v>0</v>
      </c>
      <c r="BJ50" s="22" t="s">
        <v>57</v>
      </c>
      <c r="BK50" s="21">
        <v>18</v>
      </c>
      <c r="BV50" s="21">
        <v>21</v>
      </c>
      <c r="BW50" s="4" t="s">
        <v>167</v>
      </c>
    </row>
    <row r="51" spans="1:75" ht="35.1" customHeight="1">
      <c r="A51" s="23" t="s">
        <v>48</v>
      </c>
      <c r="B51" s="24" t="s">
        <v>123</v>
      </c>
      <c r="C51" s="68" t="s">
        <v>168</v>
      </c>
      <c r="D51" s="68"/>
      <c r="E51" s="25" t="s">
        <v>4</v>
      </c>
      <c r="F51" s="25" t="s">
        <v>4</v>
      </c>
      <c r="G51" s="25" t="s">
        <v>4</v>
      </c>
      <c r="H51" s="1">
        <f>ROUND(SUM(H52:H52),2)</f>
        <v>0</v>
      </c>
      <c r="I51" s="1">
        <f>ROUND(SUM(I52:I52),2)</f>
        <v>0</v>
      </c>
      <c r="J51" s="1">
        <f>ROUND(SUM(J52:J52),2)</f>
        <v>0</v>
      </c>
      <c r="AH51" s="9" t="s">
        <v>48</v>
      </c>
      <c r="AR51" s="1">
        <f>SUM(AI52:AI52)</f>
        <v>0</v>
      </c>
      <c r="AS51" s="1">
        <f>SUM(AJ52:AJ52)</f>
        <v>0</v>
      </c>
      <c r="AT51" s="1">
        <f>SUM(AK52:AK52)</f>
        <v>0</v>
      </c>
    </row>
    <row r="52" spans="1:75" ht="35.1" customHeight="1">
      <c r="A52" s="2" t="s">
        <v>169</v>
      </c>
      <c r="B52" s="3" t="s">
        <v>170</v>
      </c>
      <c r="C52" s="60" t="s">
        <v>171</v>
      </c>
      <c r="D52" s="60"/>
      <c r="E52" s="3" t="s">
        <v>172</v>
      </c>
      <c r="F52" s="21">
        <v>321</v>
      </c>
      <c r="G52" s="21">
        <v>0</v>
      </c>
      <c r="H52" s="21">
        <f>ROUND(F52*AN52,2)</f>
        <v>0</v>
      </c>
      <c r="I52" s="21">
        <f>ROUND(F52*AO52,2)</f>
        <v>0</v>
      </c>
      <c r="J52" s="21">
        <f>ROUND(F52*G52,2)</f>
        <v>0</v>
      </c>
      <c r="Y52" s="21">
        <f>ROUND(IF(AP52="5",BI52,0),2)</f>
        <v>0</v>
      </c>
      <c r="AA52" s="21">
        <f>ROUND(IF(AP52="1",BG52,0),2)</f>
        <v>0</v>
      </c>
      <c r="AB52" s="21">
        <f>ROUND(IF(AP52="1",BH52,0),2)</f>
        <v>0</v>
      </c>
      <c r="AC52" s="21">
        <f>ROUND(IF(AP52="7",BG52,0),2)</f>
        <v>0</v>
      </c>
      <c r="AD52" s="21">
        <f>ROUND(IF(AP52="7",BH52,0),2)</f>
        <v>0</v>
      </c>
      <c r="AE52" s="21">
        <f>ROUND(IF(AP52="2",BG52,0),2)</f>
        <v>0</v>
      </c>
      <c r="AF52" s="21">
        <f>ROUND(IF(AP52="2",BH52,0),2)</f>
        <v>0</v>
      </c>
      <c r="AG52" s="21">
        <f>ROUND(IF(AP52="0",BI52,0),2)</f>
        <v>0</v>
      </c>
      <c r="AH52" s="9" t="s">
        <v>48</v>
      </c>
      <c r="AI52" s="21">
        <f>IF(AM52=0,J52,0)</f>
        <v>0</v>
      </c>
      <c r="AJ52" s="21">
        <f>IF(AM52=15,J52,0)</f>
        <v>0</v>
      </c>
      <c r="AK52" s="21">
        <f>IF(AM52=21,J52,0)</f>
        <v>0</v>
      </c>
      <c r="AM52" s="21">
        <v>21</v>
      </c>
      <c r="AN52" s="21">
        <f>G52*0.3938838</f>
        <v>0</v>
      </c>
      <c r="AO52" s="21">
        <f>G52*(1-0.3938838)</f>
        <v>0</v>
      </c>
      <c r="AP52" s="22" t="s">
        <v>51</v>
      </c>
      <c r="AU52" s="21">
        <f>ROUND(AV52+AW52,2)</f>
        <v>0</v>
      </c>
      <c r="AV52" s="21">
        <f>ROUND(F52*AN52,2)</f>
        <v>0</v>
      </c>
      <c r="AW52" s="21">
        <f>ROUND(F52*AO52,2)</f>
        <v>0</v>
      </c>
      <c r="AX52" s="22" t="s">
        <v>173</v>
      </c>
      <c r="AY52" s="22" t="s">
        <v>173</v>
      </c>
      <c r="AZ52" s="9" t="s">
        <v>56</v>
      </c>
      <c r="BB52" s="21">
        <f>AV52+AW52</f>
        <v>0</v>
      </c>
      <c r="BC52" s="21">
        <f>G52/(100-BD52)*100</f>
        <v>0</v>
      </c>
      <c r="BD52" s="21">
        <v>0</v>
      </c>
      <c r="BE52" s="21">
        <f>52</f>
        <v>52</v>
      </c>
      <c r="BG52" s="21">
        <f>F52*AN52</f>
        <v>0</v>
      </c>
      <c r="BH52" s="21">
        <f>F52*AO52</f>
        <v>0</v>
      </c>
      <c r="BI52" s="21">
        <f>F52*G52</f>
        <v>0</v>
      </c>
      <c r="BJ52" s="22" t="s">
        <v>57</v>
      </c>
      <c r="BK52" s="21">
        <v>21</v>
      </c>
      <c r="BV52" s="21">
        <v>21</v>
      </c>
      <c r="BW52" s="4" t="s">
        <v>171</v>
      </c>
    </row>
    <row r="53" spans="1:75" ht="35.1" customHeight="1">
      <c r="A53" s="23" t="s">
        <v>48</v>
      </c>
      <c r="B53" s="24" t="s">
        <v>149</v>
      </c>
      <c r="C53" s="68" t="s">
        <v>174</v>
      </c>
      <c r="D53" s="68"/>
      <c r="E53" s="25" t="s">
        <v>4</v>
      </c>
      <c r="F53" s="25" t="s">
        <v>4</v>
      </c>
      <c r="G53" s="25" t="s">
        <v>4</v>
      </c>
      <c r="H53" s="1">
        <f>ROUND(SUM(H54:H55),2)</f>
        <v>0</v>
      </c>
      <c r="I53" s="1">
        <f>ROUND(SUM(I54:I55),2)</f>
        <v>0</v>
      </c>
      <c r="J53" s="1">
        <f>ROUND(SUM(J54:J55),2)</f>
        <v>0</v>
      </c>
      <c r="AH53" s="9" t="s">
        <v>48</v>
      </c>
      <c r="AR53" s="1">
        <f>SUM(AI54:AI55)</f>
        <v>0</v>
      </c>
      <c r="AS53" s="1">
        <f>SUM(AJ54:AJ55)</f>
        <v>0</v>
      </c>
      <c r="AT53" s="1">
        <f>SUM(AK54:AK55)</f>
        <v>0</v>
      </c>
    </row>
    <row r="54" spans="1:75" ht="35.1" customHeight="1">
      <c r="A54" s="2" t="s">
        <v>175</v>
      </c>
      <c r="B54" s="3" t="s">
        <v>176</v>
      </c>
      <c r="C54" s="60" t="s">
        <v>177</v>
      </c>
      <c r="D54" s="60"/>
      <c r="E54" s="3" t="s">
        <v>144</v>
      </c>
      <c r="F54" s="21">
        <v>2482.9</v>
      </c>
      <c r="G54" s="21">
        <v>0</v>
      </c>
      <c r="H54" s="21">
        <f>ROUND(F54*AN54,2)</f>
        <v>0</v>
      </c>
      <c r="I54" s="21">
        <f>ROUND(F54*AO54,2)</f>
        <v>0</v>
      </c>
      <c r="J54" s="21">
        <f>ROUND(F54*G54,2)</f>
        <v>0</v>
      </c>
      <c r="Y54" s="21">
        <f>ROUND(IF(AP54="5",BI54,0),2)</f>
        <v>0</v>
      </c>
      <c r="AA54" s="21">
        <f>ROUND(IF(AP54="1",BG54,0),2)</f>
        <v>0</v>
      </c>
      <c r="AB54" s="21">
        <f>ROUND(IF(AP54="1",BH54,0),2)</f>
        <v>0</v>
      </c>
      <c r="AC54" s="21">
        <f>ROUND(IF(AP54="7",BG54,0),2)</f>
        <v>0</v>
      </c>
      <c r="AD54" s="21">
        <f>ROUND(IF(AP54="7",BH54,0),2)</f>
        <v>0</v>
      </c>
      <c r="AE54" s="21">
        <f>ROUND(IF(AP54="2",BG54,0),2)</f>
        <v>0</v>
      </c>
      <c r="AF54" s="21">
        <f>ROUND(IF(AP54="2",BH54,0),2)</f>
        <v>0</v>
      </c>
      <c r="AG54" s="21">
        <f>ROUND(IF(AP54="0",BI54,0),2)</f>
        <v>0</v>
      </c>
      <c r="AH54" s="9" t="s">
        <v>48</v>
      </c>
      <c r="AI54" s="21">
        <f>IF(AM54=0,J54,0)</f>
        <v>0</v>
      </c>
      <c r="AJ54" s="21">
        <f>IF(AM54=15,J54,0)</f>
        <v>0</v>
      </c>
      <c r="AK54" s="21">
        <f>IF(AM54=21,J54,0)</f>
        <v>0</v>
      </c>
      <c r="AM54" s="21">
        <v>21</v>
      </c>
      <c r="AN54" s="21">
        <f>G54*0.018624082</f>
        <v>0</v>
      </c>
      <c r="AO54" s="21">
        <f>G54*(1-0.018624082)</f>
        <v>0</v>
      </c>
      <c r="AP54" s="22" t="s">
        <v>51</v>
      </c>
      <c r="AU54" s="21">
        <f>ROUND(AV54+AW54,2)</f>
        <v>0</v>
      </c>
      <c r="AV54" s="21">
        <f>ROUND(F54*AN54,2)</f>
        <v>0</v>
      </c>
      <c r="AW54" s="21">
        <f>ROUND(F54*AO54,2)</f>
        <v>0</v>
      </c>
      <c r="AX54" s="22" t="s">
        <v>178</v>
      </c>
      <c r="AY54" s="22" t="s">
        <v>178</v>
      </c>
      <c r="AZ54" s="9" t="s">
        <v>56</v>
      </c>
      <c r="BB54" s="21">
        <f>AV54+AW54</f>
        <v>0</v>
      </c>
      <c r="BC54" s="21">
        <f>G54/(100-BD54)*100</f>
        <v>0</v>
      </c>
      <c r="BD54" s="21">
        <v>0</v>
      </c>
      <c r="BE54" s="21">
        <f>54</f>
        <v>54</v>
      </c>
      <c r="BG54" s="21">
        <f>F54*AN54</f>
        <v>0</v>
      </c>
      <c r="BH54" s="21">
        <f>F54*AO54</f>
        <v>0</v>
      </c>
      <c r="BI54" s="21">
        <f>F54*G54</f>
        <v>0</v>
      </c>
      <c r="BJ54" s="22" t="s">
        <v>57</v>
      </c>
      <c r="BK54" s="21">
        <v>28</v>
      </c>
      <c r="BV54" s="21">
        <v>21</v>
      </c>
      <c r="BW54" s="4" t="s">
        <v>177</v>
      </c>
    </row>
    <row r="55" spans="1:75" ht="35.1" customHeight="1">
      <c r="A55" s="2" t="s">
        <v>179</v>
      </c>
      <c r="B55" s="3" t="s">
        <v>180</v>
      </c>
      <c r="C55" s="60" t="s">
        <v>181</v>
      </c>
      <c r="D55" s="60"/>
      <c r="E55" s="3" t="s">
        <v>144</v>
      </c>
      <c r="F55" s="21">
        <v>2482.9</v>
      </c>
      <c r="G55" s="21">
        <v>0</v>
      </c>
      <c r="H55" s="21">
        <f>ROUND(F55*AN55,2)</f>
        <v>0</v>
      </c>
      <c r="I55" s="21">
        <f>ROUND(F55*AO55,2)</f>
        <v>0</v>
      </c>
      <c r="J55" s="21">
        <f>ROUND(F55*G55,2)</f>
        <v>0</v>
      </c>
      <c r="Y55" s="21">
        <f>ROUND(IF(AP55="5",BI55,0),2)</f>
        <v>0</v>
      </c>
      <c r="AA55" s="21">
        <f>ROUND(IF(AP55="1",BG55,0),2)</f>
        <v>0</v>
      </c>
      <c r="AB55" s="21">
        <f>ROUND(IF(AP55="1",BH55,0),2)</f>
        <v>0</v>
      </c>
      <c r="AC55" s="21">
        <f>ROUND(IF(AP55="7",BG55,0),2)</f>
        <v>0</v>
      </c>
      <c r="AD55" s="21">
        <f>ROUND(IF(AP55="7",BH55,0),2)</f>
        <v>0</v>
      </c>
      <c r="AE55" s="21">
        <f>ROUND(IF(AP55="2",BG55,0),2)</f>
        <v>0</v>
      </c>
      <c r="AF55" s="21">
        <f>ROUND(IF(AP55="2",BH55,0),2)</f>
        <v>0</v>
      </c>
      <c r="AG55" s="21">
        <f>ROUND(IF(AP55="0",BI55,0),2)</f>
        <v>0</v>
      </c>
      <c r="AH55" s="9" t="s">
        <v>48</v>
      </c>
      <c r="AI55" s="21">
        <f>IF(AM55=0,J55,0)</f>
        <v>0</v>
      </c>
      <c r="AJ55" s="21">
        <f>IF(AM55=15,J55,0)</f>
        <v>0</v>
      </c>
      <c r="AK55" s="21">
        <f>IF(AM55=21,J55,0)</f>
        <v>0</v>
      </c>
      <c r="AM55" s="21">
        <v>21</v>
      </c>
      <c r="AN55" s="21">
        <f>G55*1</f>
        <v>0</v>
      </c>
      <c r="AO55" s="21">
        <f>G55*(1-1)</f>
        <v>0</v>
      </c>
      <c r="AP55" s="22" t="s">
        <v>51</v>
      </c>
      <c r="AU55" s="21">
        <f>ROUND(AV55+AW55,2)</f>
        <v>0</v>
      </c>
      <c r="AV55" s="21">
        <f>ROUND(F55*AN55,2)</f>
        <v>0</v>
      </c>
      <c r="AW55" s="21">
        <f>ROUND(F55*AO55,2)</f>
        <v>0</v>
      </c>
      <c r="AX55" s="22" t="s">
        <v>178</v>
      </c>
      <c r="AY55" s="22" t="s">
        <v>178</v>
      </c>
      <c r="AZ55" s="9" t="s">
        <v>56</v>
      </c>
      <c r="BB55" s="21">
        <f>AV55+AW55</f>
        <v>0</v>
      </c>
      <c r="BC55" s="21">
        <f>G55/(100-BD55)*100</f>
        <v>0</v>
      </c>
      <c r="BD55" s="21">
        <v>0</v>
      </c>
      <c r="BE55" s="21">
        <f>55</f>
        <v>55</v>
      </c>
      <c r="BG55" s="21">
        <f>F55*AN55</f>
        <v>0</v>
      </c>
      <c r="BH55" s="21">
        <f>F55*AO55</f>
        <v>0</v>
      </c>
      <c r="BI55" s="21">
        <f>F55*G55</f>
        <v>0</v>
      </c>
      <c r="BJ55" s="22" t="s">
        <v>66</v>
      </c>
      <c r="BK55" s="21">
        <v>28</v>
      </c>
      <c r="BV55" s="21">
        <v>21</v>
      </c>
      <c r="BW55" s="4" t="s">
        <v>181</v>
      </c>
    </row>
    <row r="56" spans="1:75" ht="35.1" customHeight="1">
      <c r="A56" s="23" t="s">
        <v>48</v>
      </c>
      <c r="B56" s="24" t="s">
        <v>182</v>
      </c>
      <c r="C56" s="68" t="s">
        <v>183</v>
      </c>
      <c r="D56" s="68"/>
      <c r="E56" s="25" t="s">
        <v>4</v>
      </c>
      <c r="F56" s="25" t="s">
        <v>4</v>
      </c>
      <c r="G56" s="25" t="s">
        <v>4</v>
      </c>
      <c r="H56" s="1">
        <f>ROUND(SUM(H57:H61),2)</f>
        <v>0</v>
      </c>
      <c r="I56" s="1">
        <f>ROUND(SUM(I57:I61),2)</f>
        <v>0</v>
      </c>
      <c r="J56" s="1">
        <f>ROUND(SUM(J57:J61),2)</f>
        <v>0</v>
      </c>
      <c r="AH56" s="9" t="s">
        <v>48</v>
      </c>
      <c r="AR56" s="1">
        <f>SUM(AI57:AI61)</f>
        <v>0</v>
      </c>
      <c r="AS56" s="1">
        <f>SUM(AJ57:AJ61)</f>
        <v>0</v>
      </c>
      <c r="AT56" s="1">
        <f>SUM(AK57:AK61)</f>
        <v>0</v>
      </c>
    </row>
    <row r="57" spans="1:75" ht="35.1" customHeight="1">
      <c r="A57" s="2" t="s">
        <v>184</v>
      </c>
      <c r="B57" s="3" t="s">
        <v>185</v>
      </c>
      <c r="C57" s="60" t="s">
        <v>186</v>
      </c>
      <c r="D57" s="60"/>
      <c r="E57" s="3" t="s">
        <v>144</v>
      </c>
      <c r="F57" s="21">
        <v>218.6</v>
      </c>
      <c r="G57" s="21">
        <v>0</v>
      </c>
      <c r="H57" s="21">
        <f>ROUND(F57*AN57,2)</f>
        <v>0</v>
      </c>
      <c r="I57" s="21">
        <f>ROUND(F57*AO57,2)</f>
        <v>0</v>
      </c>
      <c r="J57" s="21">
        <f>ROUND(F57*G57,2)</f>
        <v>0</v>
      </c>
      <c r="Y57" s="21">
        <f>ROUND(IF(AP57="5",BI57,0),2)</f>
        <v>0</v>
      </c>
      <c r="AA57" s="21">
        <f>ROUND(IF(AP57="1",BG57,0),2)</f>
        <v>0</v>
      </c>
      <c r="AB57" s="21">
        <f>ROUND(IF(AP57="1",BH57,0),2)</f>
        <v>0</v>
      </c>
      <c r="AC57" s="21">
        <f>ROUND(IF(AP57="7",BG57,0),2)</f>
        <v>0</v>
      </c>
      <c r="AD57" s="21">
        <f>ROUND(IF(AP57="7",BH57,0),2)</f>
        <v>0</v>
      </c>
      <c r="AE57" s="21">
        <f>ROUND(IF(AP57="2",BG57,0),2)</f>
        <v>0</v>
      </c>
      <c r="AF57" s="21">
        <f>ROUND(IF(AP57="2",BH57,0),2)</f>
        <v>0</v>
      </c>
      <c r="AG57" s="21">
        <f>ROUND(IF(AP57="0",BI57,0),2)</f>
        <v>0</v>
      </c>
      <c r="AH57" s="9" t="s">
        <v>48</v>
      </c>
      <c r="AI57" s="21">
        <f>IF(AM57=0,J57,0)</f>
        <v>0</v>
      </c>
      <c r="AJ57" s="21">
        <f>IF(AM57=15,J57,0)</f>
        <v>0</v>
      </c>
      <c r="AK57" s="21">
        <f>IF(AM57=21,J57,0)</f>
        <v>0</v>
      </c>
      <c r="AM57" s="21">
        <v>21</v>
      </c>
      <c r="AN57" s="21">
        <f>G57*0.818686869</f>
        <v>0</v>
      </c>
      <c r="AO57" s="21">
        <f>G57*(1-0.818686869)</f>
        <v>0</v>
      </c>
      <c r="AP57" s="22" t="s">
        <v>51</v>
      </c>
      <c r="AU57" s="21">
        <f>ROUND(AV57+AW57,2)</f>
        <v>0</v>
      </c>
      <c r="AV57" s="21">
        <f>ROUND(F57*AN57,2)</f>
        <v>0</v>
      </c>
      <c r="AW57" s="21">
        <f>ROUND(F57*AO57,2)</f>
        <v>0</v>
      </c>
      <c r="AX57" s="22" t="s">
        <v>187</v>
      </c>
      <c r="AY57" s="22" t="s">
        <v>187</v>
      </c>
      <c r="AZ57" s="9" t="s">
        <v>56</v>
      </c>
      <c r="BB57" s="21">
        <f>AV57+AW57</f>
        <v>0</v>
      </c>
      <c r="BC57" s="21">
        <f>G57/(100-BD57)*100</f>
        <v>0</v>
      </c>
      <c r="BD57" s="21">
        <v>0</v>
      </c>
      <c r="BE57" s="21">
        <f>57</f>
        <v>57</v>
      </c>
      <c r="BG57" s="21">
        <f>F57*AN57</f>
        <v>0</v>
      </c>
      <c r="BH57" s="21">
        <f>F57*AO57</f>
        <v>0</v>
      </c>
      <c r="BI57" s="21">
        <f>F57*G57</f>
        <v>0</v>
      </c>
      <c r="BJ57" s="22" t="s">
        <v>57</v>
      </c>
      <c r="BK57" s="21">
        <v>56</v>
      </c>
      <c r="BV57" s="21">
        <v>21</v>
      </c>
      <c r="BW57" s="4" t="s">
        <v>186</v>
      </c>
    </row>
    <row r="58" spans="1:75" ht="35.1" customHeight="1">
      <c r="A58" s="2" t="s">
        <v>188</v>
      </c>
      <c r="B58" s="3" t="s">
        <v>189</v>
      </c>
      <c r="C58" s="60" t="s">
        <v>190</v>
      </c>
      <c r="D58" s="60"/>
      <c r="E58" s="3" t="s">
        <v>144</v>
      </c>
      <c r="F58" s="21">
        <v>2264.3000000000002</v>
      </c>
      <c r="G58" s="21">
        <v>0</v>
      </c>
      <c r="H58" s="21">
        <f>ROUND(F58*AN58,2)</f>
        <v>0</v>
      </c>
      <c r="I58" s="21">
        <f>ROUND(F58*AO58,2)</f>
        <v>0</v>
      </c>
      <c r="J58" s="21">
        <f>ROUND(F58*G58,2)</f>
        <v>0</v>
      </c>
      <c r="Y58" s="21">
        <f>ROUND(IF(AP58="5",BI58,0),2)</f>
        <v>0</v>
      </c>
      <c r="AA58" s="21">
        <f>ROUND(IF(AP58="1",BG58,0),2)</f>
        <v>0</v>
      </c>
      <c r="AB58" s="21">
        <f>ROUND(IF(AP58="1",BH58,0),2)</f>
        <v>0</v>
      </c>
      <c r="AC58" s="21">
        <f>ROUND(IF(AP58="7",BG58,0),2)</f>
        <v>0</v>
      </c>
      <c r="AD58" s="21">
        <f>ROUND(IF(AP58="7",BH58,0),2)</f>
        <v>0</v>
      </c>
      <c r="AE58" s="21">
        <f>ROUND(IF(AP58="2",BG58,0),2)</f>
        <v>0</v>
      </c>
      <c r="AF58" s="21">
        <f>ROUND(IF(AP58="2",BH58,0),2)</f>
        <v>0</v>
      </c>
      <c r="AG58" s="21">
        <f>ROUND(IF(AP58="0",BI58,0),2)</f>
        <v>0</v>
      </c>
      <c r="AH58" s="9" t="s">
        <v>48</v>
      </c>
      <c r="AI58" s="21">
        <f>IF(AM58=0,J58,0)</f>
        <v>0</v>
      </c>
      <c r="AJ58" s="21">
        <f>IF(AM58=15,J58,0)</f>
        <v>0</v>
      </c>
      <c r="AK58" s="21">
        <f>IF(AM58=21,J58,0)</f>
        <v>0</v>
      </c>
      <c r="AM58" s="21">
        <v>21</v>
      </c>
      <c r="AN58" s="21">
        <f>G58*0.838718445</f>
        <v>0</v>
      </c>
      <c r="AO58" s="21">
        <f>G58*(1-0.838718445)</f>
        <v>0</v>
      </c>
      <c r="AP58" s="22" t="s">
        <v>51</v>
      </c>
      <c r="AU58" s="21">
        <f>ROUND(AV58+AW58,2)</f>
        <v>0</v>
      </c>
      <c r="AV58" s="21">
        <f>ROUND(F58*AN58,2)</f>
        <v>0</v>
      </c>
      <c r="AW58" s="21">
        <f>ROUND(F58*AO58,2)</f>
        <v>0</v>
      </c>
      <c r="AX58" s="22" t="s">
        <v>187</v>
      </c>
      <c r="AY58" s="22" t="s">
        <v>187</v>
      </c>
      <c r="AZ58" s="9" t="s">
        <v>56</v>
      </c>
      <c r="BB58" s="21">
        <f>AV58+AW58</f>
        <v>0</v>
      </c>
      <c r="BC58" s="21">
        <f>G58/(100-BD58)*100</f>
        <v>0</v>
      </c>
      <c r="BD58" s="21">
        <v>0</v>
      </c>
      <c r="BE58" s="21">
        <f>58</f>
        <v>58</v>
      </c>
      <c r="BG58" s="21">
        <f>F58*AN58</f>
        <v>0</v>
      </c>
      <c r="BH58" s="21">
        <f>F58*AO58</f>
        <v>0</v>
      </c>
      <c r="BI58" s="21">
        <f>F58*G58</f>
        <v>0</v>
      </c>
      <c r="BJ58" s="22" t="s">
        <v>57</v>
      </c>
      <c r="BK58" s="21">
        <v>56</v>
      </c>
      <c r="BV58" s="21">
        <v>21</v>
      </c>
      <c r="BW58" s="4" t="s">
        <v>190</v>
      </c>
    </row>
    <row r="59" spans="1:75" ht="35.1" customHeight="1">
      <c r="A59" s="2" t="s">
        <v>191</v>
      </c>
      <c r="B59" s="3" t="s">
        <v>192</v>
      </c>
      <c r="C59" s="60" t="s">
        <v>193</v>
      </c>
      <c r="D59" s="60"/>
      <c r="E59" s="3" t="s">
        <v>144</v>
      </c>
      <c r="F59" s="21">
        <v>186.2</v>
      </c>
      <c r="G59" s="21">
        <v>0</v>
      </c>
      <c r="H59" s="21">
        <f>ROUND(F59*AN59,2)</f>
        <v>0</v>
      </c>
      <c r="I59" s="21">
        <f>ROUND(F59*AO59,2)</f>
        <v>0</v>
      </c>
      <c r="J59" s="21">
        <f>ROUND(F59*G59,2)</f>
        <v>0</v>
      </c>
      <c r="Y59" s="21">
        <f>ROUND(IF(AP59="5",BI59,0),2)</f>
        <v>0</v>
      </c>
      <c r="AA59" s="21">
        <f>ROUND(IF(AP59="1",BG59,0),2)</f>
        <v>0</v>
      </c>
      <c r="AB59" s="21">
        <f>ROUND(IF(AP59="1",BH59,0),2)</f>
        <v>0</v>
      </c>
      <c r="AC59" s="21">
        <f>ROUND(IF(AP59="7",BG59,0),2)</f>
        <v>0</v>
      </c>
      <c r="AD59" s="21">
        <f>ROUND(IF(AP59="7",BH59,0),2)</f>
        <v>0</v>
      </c>
      <c r="AE59" s="21">
        <f>ROUND(IF(AP59="2",BG59,0),2)</f>
        <v>0</v>
      </c>
      <c r="AF59" s="21">
        <f>ROUND(IF(AP59="2",BH59,0),2)</f>
        <v>0</v>
      </c>
      <c r="AG59" s="21">
        <f>ROUND(IF(AP59="0",BI59,0),2)</f>
        <v>0</v>
      </c>
      <c r="AH59" s="9" t="s">
        <v>48</v>
      </c>
      <c r="AI59" s="21">
        <f>IF(AM59=0,J59,0)</f>
        <v>0</v>
      </c>
      <c r="AJ59" s="21">
        <f>IF(AM59=15,J59,0)</f>
        <v>0</v>
      </c>
      <c r="AK59" s="21">
        <f>IF(AM59=21,J59,0)</f>
        <v>0</v>
      </c>
      <c r="AM59" s="21">
        <v>21</v>
      </c>
      <c r="AN59" s="21">
        <f>G59*0.796806693</f>
        <v>0</v>
      </c>
      <c r="AO59" s="21">
        <f>G59*(1-0.796806693)</f>
        <v>0</v>
      </c>
      <c r="AP59" s="22" t="s">
        <v>51</v>
      </c>
      <c r="AU59" s="21">
        <f>ROUND(AV59+AW59,2)</f>
        <v>0</v>
      </c>
      <c r="AV59" s="21">
        <f>ROUND(F59*AN59,2)</f>
        <v>0</v>
      </c>
      <c r="AW59" s="21">
        <f>ROUND(F59*AO59,2)</f>
        <v>0</v>
      </c>
      <c r="AX59" s="22" t="s">
        <v>187</v>
      </c>
      <c r="AY59" s="22" t="s">
        <v>187</v>
      </c>
      <c r="AZ59" s="9" t="s">
        <v>56</v>
      </c>
      <c r="BB59" s="21">
        <f>AV59+AW59</f>
        <v>0</v>
      </c>
      <c r="BC59" s="21">
        <f>G59/(100-BD59)*100</f>
        <v>0</v>
      </c>
      <c r="BD59" s="21">
        <v>0</v>
      </c>
      <c r="BE59" s="21">
        <f>59</f>
        <v>59</v>
      </c>
      <c r="BG59" s="21">
        <f>F59*AN59</f>
        <v>0</v>
      </c>
      <c r="BH59" s="21">
        <f>F59*AO59</f>
        <v>0</v>
      </c>
      <c r="BI59" s="21">
        <f>F59*G59</f>
        <v>0</v>
      </c>
      <c r="BJ59" s="22" t="s">
        <v>57</v>
      </c>
      <c r="BK59" s="21">
        <v>56</v>
      </c>
      <c r="BV59" s="21">
        <v>21</v>
      </c>
      <c r="BW59" s="4" t="s">
        <v>193</v>
      </c>
    </row>
    <row r="60" spans="1:75" ht="35.1" customHeight="1">
      <c r="A60" s="2" t="s">
        <v>194</v>
      </c>
      <c r="B60" s="3" t="s">
        <v>195</v>
      </c>
      <c r="C60" s="60" t="s">
        <v>196</v>
      </c>
      <c r="D60" s="60"/>
      <c r="E60" s="3" t="s">
        <v>144</v>
      </c>
      <c r="F60" s="21">
        <v>1955</v>
      </c>
      <c r="G60" s="21">
        <v>0</v>
      </c>
      <c r="H60" s="21">
        <f>ROUND(F60*AN60,2)</f>
        <v>0</v>
      </c>
      <c r="I60" s="21">
        <f>ROUND(F60*AO60,2)</f>
        <v>0</v>
      </c>
      <c r="J60" s="21">
        <f>ROUND(F60*G60,2)</f>
        <v>0</v>
      </c>
      <c r="Y60" s="21">
        <f>ROUND(IF(AP60="5",BI60,0),2)</f>
        <v>0</v>
      </c>
      <c r="AA60" s="21">
        <f>ROUND(IF(AP60="1",BG60,0),2)</f>
        <v>0</v>
      </c>
      <c r="AB60" s="21">
        <f>ROUND(IF(AP60="1",BH60,0),2)</f>
        <v>0</v>
      </c>
      <c r="AC60" s="21">
        <f>ROUND(IF(AP60="7",BG60,0),2)</f>
        <v>0</v>
      </c>
      <c r="AD60" s="21">
        <f>ROUND(IF(AP60="7",BH60,0),2)</f>
        <v>0</v>
      </c>
      <c r="AE60" s="21">
        <f>ROUND(IF(AP60="2",BG60,0),2)</f>
        <v>0</v>
      </c>
      <c r="AF60" s="21">
        <f>ROUND(IF(AP60="2",BH60,0),2)</f>
        <v>0</v>
      </c>
      <c r="AG60" s="21">
        <f>ROUND(IF(AP60="0",BI60,0),2)</f>
        <v>0</v>
      </c>
      <c r="AH60" s="9" t="s">
        <v>48</v>
      </c>
      <c r="AI60" s="21">
        <f>IF(AM60=0,J60,0)</f>
        <v>0</v>
      </c>
      <c r="AJ60" s="21">
        <f>IF(AM60=15,J60,0)</f>
        <v>0</v>
      </c>
      <c r="AK60" s="21">
        <f>IF(AM60=21,J60,0)</f>
        <v>0</v>
      </c>
      <c r="AM60" s="21">
        <v>21</v>
      </c>
      <c r="AN60" s="21">
        <f>G60*0.901858974</f>
        <v>0</v>
      </c>
      <c r="AO60" s="21">
        <f>G60*(1-0.901858974)</f>
        <v>0</v>
      </c>
      <c r="AP60" s="22" t="s">
        <v>51</v>
      </c>
      <c r="AU60" s="21">
        <f>ROUND(AV60+AW60,2)</f>
        <v>0</v>
      </c>
      <c r="AV60" s="21">
        <f>ROUND(F60*AN60,2)</f>
        <v>0</v>
      </c>
      <c r="AW60" s="21">
        <f>ROUND(F60*AO60,2)</f>
        <v>0</v>
      </c>
      <c r="AX60" s="22" t="s">
        <v>187</v>
      </c>
      <c r="AY60" s="22" t="s">
        <v>187</v>
      </c>
      <c r="AZ60" s="9" t="s">
        <v>56</v>
      </c>
      <c r="BB60" s="21">
        <f>AV60+AW60</f>
        <v>0</v>
      </c>
      <c r="BC60" s="21">
        <f>G60/(100-BD60)*100</f>
        <v>0</v>
      </c>
      <c r="BD60" s="21">
        <v>0</v>
      </c>
      <c r="BE60" s="21">
        <f>60</f>
        <v>60</v>
      </c>
      <c r="BG60" s="21">
        <f>F60*AN60</f>
        <v>0</v>
      </c>
      <c r="BH60" s="21">
        <f>F60*AO60</f>
        <v>0</v>
      </c>
      <c r="BI60" s="21">
        <f>F60*G60</f>
        <v>0</v>
      </c>
      <c r="BJ60" s="22" t="s">
        <v>57</v>
      </c>
      <c r="BK60" s="21">
        <v>56</v>
      </c>
      <c r="BV60" s="21">
        <v>21</v>
      </c>
      <c r="BW60" s="4" t="s">
        <v>196</v>
      </c>
    </row>
    <row r="61" spans="1:75" ht="35.1" customHeight="1">
      <c r="A61" s="2" t="s">
        <v>197</v>
      </c>
      <c r="B61" s="3" t="s">
        <v>198</v>
      </c>
      <c r="C61" s="60" t="s">
        <v>199</v>
      </c>
      <c r="D61" s="60"/>
      <c r="E61" s="3" t="s">
        <v>144</v>
      </c>
      <c r="F61" s="21">
        <v>1955</v>
      </c>
      <c r="G61" s="21">
        <v>0</v>
      </c>
      <c r="H61" s="21">
        <f>ROUND(F61*AN61,2)</f>
        <v>0</v>
      </c>
      <c r="I61" s="21">
        <f>ROUND(F61*AO61,2)</f>
        <v>0</v>
      </c>
      <c r="J61" s="21">
        <f>ROUND(F61*G61,2)</f>
        <v>0</v>
      </c>
      <c r="Y61" s="21">
        <f>ROUND(IF(AP61="5",BI61,0),2)</f>
        <v>0</v>
      </c>
      <c r="AA61" s="21">
        <f>ROUND(IF(AP61="1",BG61,0),2)</f>
        <v>0</v>
      </c>
      <c r="AB61" s="21">
        <f>ROUND(IF(AP61="1",BH61,0),2)</f>
        <v>0</v>
      </c>
      <c r="AC61" s="21">
        <f>ROUND(IF(AP61="7",BG61,0),2)</f>
        <v>0</v>
      </c>
      <c r="AD61" s="21">
        <f>ROUND(IF(AP61="7",BH61,0),2)</f>
        <v>0</v>
      </c>
      <c r="AE61" s="21">
        <f>ROUND(IF(AP61="2",BG61,0),2)</f>
        <v>0</v>
      </c>
      <c r="AF61" s="21">
        <f>ROUND(IF(AP61="2",BH61,0),2)</f>
        <v>0</v>
      </c>
      <c r="AG61" s="21">
        <f>ROUND(IF(AP61="0",BI61,0),2)</f>
        <v>0</v>
      </c>
      <c r="AH61" s="9" t="s">
        <v>48</v>
      </c>
      <c r="AI61" s="21">
        <f>IF(AM61=0,J61,0)</f>
        <v>0</v>
      </c>
      <c r="AJ61" s="21">
        <f>IF(AM61=15,J61,0)</f>
        <v>0</v>
      </c>
      <c r="AK61" s="21">
        <f>IF(AM61=21,J61,0)</f>
        <v>0</v>
      </c>
      <c r="AM61" s="21">
        <v>21</v>
      </c>
      <c r="AN61" s="21">
        <f>G61*0.880907668</f>
        <v>0</v>
      </c>
      <c r="AO61" s="21">
        <f>G61*(1-0.880907668)</f>
        <v>0</v>
      </c>
      <c r="AP61" s="22" t="s">
        <v>51</v>
      </c>
      <c r="AU61" s="21">
        <f>ROUND(AV61+AW61,2)</f>
        <v>0</v>
      </c>
      <c r="AV61" s="21">
        <f>ROUND(F61*AN61,2)</f>
        <v>0</v>
      </c>
      <c r="AW61" s="21">
        <f>ROUND(F61*AO61,2)</f>
        <v>0</v>
      </c>
      <c r="AX61" s="22" t="s">
        <v>187</v>
      </c>
      <c r="AY61" s="22" t="s">
        <v>187</v>
      </c>
      <c r="AZ61" s="9" t="s">
        <v>56</v>
      </c>
      <c r="BB61" s="21">
        <f>AV61+AW61</f>
        <v>0</v>
      </c>
      <c r="BC61" s="21">
        <f>G61/(100-BD61)*100</f>
        <v>0</v>
      </c>
      <c r="BD61" s="21">
        <v>0</v>
      </c>
      <c r="BE61" s="21">
        <f>61</f>
        <v>61</v>
      </c>
      <c r="BG61" s="21">
        <f>F61*AN61</f>
        <v>0</v>
      </c>
      <c r="BH61" s="21">
        <f>F61*AO61</f>
        <v>0</v>
      </c>
      <c r="BI61" s="21">
        <f>F61*G61</f>
        <v>0</v>
      </c>
      <c r="BJ61" s="22" t="s">
        <v>57</v>
      </c>
      <c r="BK61" s="21">
        <v>56</v>
      </c>
      <c r="BV61" s="21">
        <v>21</v>
      </c>
      <c r="BW61" s="4" t="s">
        <v>199</v>
      </c>
    </row>
    <row r="62" spans="1:75" ht="35.1" customHeight="1">
      <c r="A62" s="23" t="s">
        <v>48</v>
      </c>
      <c r="B62" s="24" t="s">
        <v>200</v>
      </c>
      <c r="C62" s="68" t="s">
        <v>201</v>
      </c>
      <c r="D62" s="68"/>
      <c r="E62" s="25" t="s">
        <v>4</v>
      </c>
      <c r="F62" s="25" t="s">
        <v>4</v>
      </c>
      <c r="G62" s="25" t="s">
        <v>4</v>
      </c>
      <c r="H62" s="1">
        <f>ROUND(SUM(H63:H65),2)</f>
        <v>0</v>
      </c>
      <c r="I62" s="1">
        <f>ROUND(SUM(I63:I65),2)</f>
        <v>0</v>
      </c>
      <c r="J62" s="1">
        <f>ROUND(SUM(J63:J65),2)</f>
        <v>0</v>
      </c>
      <c r="AH62" s="9" t="s">
        <v>48</v>
      </c>
      <c r="AR62" s="1">
        <f>SUM(AI63:AI65)</f>
        <v>0</v>
      </c>
      <c r="AS62" s="1">
        <f>SUM(AJ63:AJ65)</f>
        <v>0</v>
      </c>
      <c r="AT62" s="1">
        <f>SUM(AK63:AK65)</f>
        <v>0</v>
      </c>
    </row>
    <row r="63" spans="1:75" ht="35.1" customHeight="1">
      <c r="A63" s="2" t="s">
        <v>202</v>
      </c>
      <c r="B63" s="3" t="s">
        <v>203</v>
      </c>
      <c r="C63" s="60" t="s">
        <v>204</v>
      </c>
      <c r="D63" s="60"/>
      <c r="E63" s="3" t="s">
        <v>144</v>
      </c>
      <c r="F63" s="21">
        <v>1955</v>
      </c>
      <c r="G63" s="21">
        <v>0</v>
      </c>
      <c r="H63" s="21">
        <f>ROUND(F63*AN63,2)</f>
        <v>0</v>
      </c>
      <c r="I63" s="21">
        <f>ROUND(F63*AO63,2)</f>
        <v>0</v>
      </c>
      <c r="J63" s="21">
        <f>ROUND(F63*G63,2)</f>
        <v>0</v>
      </c>
      <c r="Y63" s="21">
        <f>ROUND(IF(AP63="5",BI63,0),2)</f>
        <v>0</v>
      </c>
      <c r="AA63" s="21">
        <f>ROUND(IF(AP63="1",BG63,0),2)</f>
        <v>0</v>
      </c>
      <c r="AB63" s="21">
        <f>ROUND(IF(AP63="1",BH63,0),2)</f>
        <v>0</v>
      </c>
      <c r="AC63" s="21">
        <f>ROUND(IF(AP63="7",BG63,0),2)</f>
        <v>0</v>
      </c>
      <c r="AD63" s="21">
        <f>ROUND(IF(AP63="7",BH63,0),2)</f>
        <v>0</v>
      </c>
      <c r="AE63" s="21">
        <f>ROUND(IF(AP63="2",BG63,0),2)</f>
        <v>0</v>
      </c>
      <c r="AF63" s="21">
        <f>ROUND(IF(AP63="2",BH63,0),2)</f>
        <v>0</v>
      </c>
      <c r="AG63" s="21">
        <f>ROUND(IF(AP63="0",BI63,0),2)</f>
        <v>0</v>
      </c>
      <c r="AH63" s="9" t="s">
        <v>48</v>
      </c>
      <c r="AI63" s="21">
        <f>IF(AM63=0,J63,0)</f>
        <v>0</v>
      </c>
      <c r="AJ63" s="21">
        <f>IF(AM63=15,J63,0)</f>
        <v>0</v>
      </c>
      <c r="AK63" s="21">
        <f>IF(AM63=21,J63,0)</f>
        <v>0</v>
      </c>
      <c r="AM63" s="21">
        <v>21</v>
      </c>
      <c r="AN63" s="21">
        <f>G63*0.905384615</f>
        <v>0</v>
      </c>
      <c r="AO63" s="21">
        <f>G63*(1-0.905384615)</f>
        <v>0</v>
      </c>
      <c r="AP63" s="22" t="s">
        <v>51</v>
      </c>
      <c r="AU63" s="21">
        <f>ROUND(AV63+AW63,2)</f>
        <v>0</v>
      </c>
      <c r="AV63" s="21">
        <f>ROUND(F63*AN63,2)</f>
        <v>0</v>
      </c>
      <c r="AW63" s="21">
        <f>ROUND(F63*AO63,2)</f>
        <v>0</v>
      </c>
      <c r="AX63" s="22" t="s">
        <v>205</v>
      </c>
      <c r="AY63" s="22" t="s">
        <v>205</v>
      </c>
      <c r="AZ63" s="9" t="s">
        <v>56</v>
      </c>
      <c r="BB63" s="21">
        <f>AV63+AW63</f>
        <v>0</v>
      </c>
      <c r="BC63" s="21">
        <f>G63/(100-BD63)*100</f>
        <v>0</v>
      </c>
      <c r="BD63" s="21">
        <v>0</v>
      </c>
      <c r="BE63" s="21">
        <f>63</f>
        <v>63</v>
      </c>
      <c r="BG63" s="21">
        <f>F63*AN63</f>
        <v>0</v>
      </c>
      <c r="BH63" s="21">
        <f>F63*AO63</f>
        <v>0</v>
      </c>
      <c r="BI63" s="21">
        <f>F63*G63</f>
        <v>0</v>
      </c>
      <c r="BJ63" s="22" t="s">
        <v>57</v>
      </c>
      <c r="BK63" s="21">
        <v>57</v>
      </c>
      <c r="BV63" s="21">
        <v>21</v>
      </c>
      <c r="BW63" s="4" t="s">
        <v>204</v>
      </c>
    </row>
    <row r="64" spans="1:75" ht="35.1" customHeight="1">
      <c r="A64" s="2" t="s">
        <v>206</v>
      </c>
      <c r="B64" s="3" t="s">
        <v>207</v>
      </c>
      <c r="C64" s="60" t="s">
        <v>208</v>
      </c>
      <c r="D64" s="60"/>
      <c r="E64" s="3" t="s">
        <v>144</v>
      </c>
      <c r="F64" s="21">
        <v>1955</v>
      </c>
      <c r="G64" s="21">
        <v>0</v>
      </c>
      <c r="H64" s="21">
        <f>ROUND(F64*AN64,2)</f>
        <v>0</v>
      </c>
      <c r="I64" s="21">
        <f>ROUND(F64*AO64,2)</f>
        <v>0</v>
      </c>
      <c r="J64" s="21">
        <f>ROUND(F64*G64,2)</f>
        <v>0</v>
      </c>
      <c r="Y64" s="21">
        <f>ROUND(IF(AP64="5",BI64,0),2)</f>
        <v>0</v>
      </c>
      <c r="AA64" s="21">
        <f>ROUND(IF(AP64="1",BG64,0),2)</f>
        <v>0</v>
      </c>
      <c r="AB64" s="21">
        <f>ROUND(IF(AP64="1",BH64,0),2)</f>
        <v>0</v>
      </c>
      <c r="AC64" s="21">
        <f>ROUND(IF(AP64="7",BG64,0),2)</f>
        <v>0</v>
      </c>
      <c r="AD64" s="21">
        <f>ROUND(IF(AP64="7",BH64,0),2)</f>
        <v>0</v>
      </c>
      <c r="AE64" s="21">
        <f>ROUND(IF(AP64="2",BG64,0),2)</f>
        <v>0</v>
      </c>
      <c r="AF64" s="21">
        <f>ROUND(IF(AP64="2",BH64,0),2)</f>
        <v>0</v>
      </c>
      <c r="AG64" s="21">
        <f>ROUND(IF(AP64="0",BI64,0),2)</f>
        <v>0</v>
      </c>
      <c r="AH64" s="9" t="s">
        <v>48</v>
      </c>
      <c r="AI64" s="21">
        <f>IF(AM64=0,J64,0)</f>
        <v>0</v>
      </c>
      <c r="AJ64" s="21">
        <f>IF(AM64=15,J64,0)</f>
        <v>0</v>
      </c>
      <c r="AK64" s="21">
        <f>IF(AM64=21,J64,0)</f>
        <v>0</v>
      </c>
      <c r="AM64" s="21">
        <v>21</v>
      </c>
      <c r="AN64" s="21">
        <f>G64*0.765182186</f>
        <v>0</v>
      </c>
      <c r="AO64" s="21">
        <f>G64*(1-0.765182186)</f>
        <v>0</v>
      </c>
      <c r="AP64" s="22" t="s">
        <v>51</v>
      </c>
      <c r="AU64" s="21">
        <f>ROUND(AV64+AW64,2)</f>
        <v>0</v>
      </c>
      <c r="AV64" s="21">
        <f>ROUND(F64*AN64,2)</f>
        <v>0</v>
      </c>
      <c r="AW64" s="21">
        <f>ROUND(F64*AO64,2)</f>
        <v>0</v>
      </c>
      <c r="AX64" s="22" t="s">
        <v>205</v>
      </c>
      <c r="AY64" s="22" t="s">
        <v>205</v>
      </c>
      <c r="AZ64" s="9" t="s">
        <v>56</v>
      </c>
      <c r="BB64" s="21">
        <f>AV64+AW64</f>
        <v>0</v>
      </c>
      <c r="BC64" s="21">
        <f>G64/(100-BD64)*100</f>
        <v>0</v>
      </c>
      <c r="BD64" s="21">
        <v>0</v>
      </c>
      <c r="BE64" s="21">
        <f>64</f>
        <v>64</v>
      </c>
      <c r="BG64" s="21">
        <f>F64*AN64</f>
        <v>0</v>
      </c>
      <c r="BH64" s="21">
        <f>F64*AO64</f>
        <v>0</v>
      </c>
      <c r="BI64" s="21">
        <f>F64*G64</f>
        <v>0</v>
      </c>
      <c r="BJ64" s="22" t="s">
        <v>57</v>
      </c>
      <c r="BK64" s="21">
        <v>57</v>
      </c>
      <c r="BV64" s="21">
        <v>21</v>
      </c>
      <c r="BW64" s="4" t="s">
        <v>208</v>
      </c>
    </row>
    <row r="65" spans="1:75" ht="35.1" customHeight="1">
      <c r="A65" s="2" t="s">
        <v>209</v>
      </c>
      <c r="B65" s="3" t="s">
        <v>210</v>
      </c>
      <c r="C65" s="60" t="s">
        <v>211</v>
      </c>
      <c r="D65" s="60"/>
      <c r="E65" s="3" t="s">
        <v>144</v>
      </c>
      <c r="F65" s="21">
        <v>1955</v>
      </c>
      <c r="G65" s="21">
        <v>0</v>
      </c>
      <c r="H65" s="21">
        <f>ROUND(F65*AN65,2)</f>
        <v>0</v>
      </c>
      <c r="I65" s="21">
        <f>ROUND(F65*AO65,2)</f>
        <v>0</v>
      </c>
      <c r="J65" s="21">
        <f>ROUND(F65*G65,2)</f>
        <v>0</v>
      </c>
      <c r="Y65" s="21">
        <f>ROUND(IF(AP65="5",BI65,0),2)</f>
        <v>0</v>
      </c>
      <c r="AA65" s="21">
        <f>ROUND(IF(AP65="1",BG65,0),2)</f>
        <v>0</v>
      </c>
      <c r="AB65" s="21">
        <f>ROUND(IF(AP65="1",BH65,0),2)</f>
        <v>0</v>
      </c>
      <c r="AC65" s="21">
        <f>ROUND(IF(AP65="7",BG65,0),2)</f>
        <v>0</v>
      </c>
      <c r="AD65" s="21">
        <f>ROUND(IF(AP65="7",BH65,0),2)</f>
        <v>0</v>
      </c>
      <c r="AE65" s="21">
        <f>ROUND(IF(AP65="2",BG65,0),2)</f>
        <v>0</v>
      </c>
      <c r="AF65" s="21">
        <f>ROUND(IF(AP65="2",BH65,0),2)</f>
        <v>0</v>
      </c>
      <c r="AG65" s="21">
        <f>ROUND(IF(AP65="0",BI65,0),2)</f>
        <v>0</v>
      </c>
      <c r="AH65" s="9" t="s">
        <v>48</v>
      </c>
      <c r="AI65" s="21">
        <f>IF(AM65=0,J65,0)</f>
        <v>0</v>
      </c>
      <c r="AJ65" s="21">
        <f>IF(AM65=15,J65,0)</f>
        <v>0</v>
      </c>
      <c r="AK65" s="21">
        <f>IF(AM65=21,J65,0)</f>
        <v>0</v>
      </c>
      <c r="AM65" s="21">
        <v>21</v>
      </c>
      <c r="AN65" s="21">
        <f>G65*0.890634821</f>
        <v>0</v>
      </c>
      <c r="AO65" s="21">
        <f>G65*(1-0.890634821)</f>
        <v>0</v>
      </c>
      <c r="AP65" s="22" t="s">
        <v>51</v>
      </c>
      <c r="AU65" s="21">
        <f>ROUND(AV65+AW65,2)</f>
        <v>0</v>
      </c>
      <c r="AV65" s="21">
        <f>ROUND(F65*AN65,2)</f>
        <v>0</v>
      </c>
      <c r="AW65" s="21">
        <f>ROUND(F65*AO65,2)</f>
        <v>0</v>
      </c>
      <c r="AX65" s="22" t="s">
        <v>205</v>
      </c>
      <c r="AY65" s="22" t="s">
        <v>205</v>
      </c>
      <c r="AZ65" s="9" t="s">
        <v>56</v>
      </c>
      <c r="BB65" s="21">
        <f>AV65+AW65</f>
        <v>0</v>
      </c>
      <c r="BC65" s="21">
        <f>G65/(100-BD65)*100</f>
        <v>0</v>
      </c>
      <c r="BD65" s="21">
        <v>0</v>
      </c>
      <c r="BE65" s="21">
        <f>65</f>
        <v>65</v>
      </c>
      <c r="BG65" s="21">
        <f>F65*AN65</f>
        <v>0</v>
      </c>
      <c r="BH65" s="21">
        <f>F65*AO65</f>
        <v>0</v>
      </c>
      <c r="BI65" s="21">
        <f>F65*G65</f>
        <v>0</v>
      </c>
      <c r="BJ65" s="22" t="s">
        <v>57</v>
      </c>
      <c r="BK65" s="21">
        <v>57</v>
      </c>
      <c r="BV65" s="21">
        <v>21</v>
      </c>
      <c r="BW65" s="4" t="s">
        <v>211</v>
      </c>
    </row>
    <row r="66" spans="1:75" ht="35.1" customHeight="1">
      <c r="A66" s="23" t="s">
        <v>48</v>
      </c>
      <c r="B66" s="24" t="s">
        <v>212</v>
      </c>
      <c r="C66" s="68" t="s">
        <v>213</v>
      </c>
      <c r="D66" s="68"/>
      <c r="E66" s="25" t="s">
        <v>4</v>
      </c>
      <c r="F66" s="25" t="s">
        <v>4</v>
      </c>
      <c r="G66" s="25" t="s">
        <v>4</v>
      </c>
      <c r="H66" s="1">
        <f>ROUND(SUM(H67:H70),2)</f>
        <v>0</v>
      </c>
      <c r="I66" s="1">
        <f>ROUND(SUM(I67:I70),2)</f>
        <v>0</v>
      </c>
      <c r="J66" s="1">
        <f>ROUND(SUM(J67:J70),2)</f>
        <v>0</v>
      </c>
      <c r="AH66" s="9" t="s">
        <v>48</v>
      </c>
      <c r="AR66" s="1">
        <f>SUM(AI67:AI70)</f>
        <v>0</v>
      </c>
      <c r="AS66" s="1">
        <f>SUM(AJ67:AJ70)</f>
        <v>0</v>
      </c>
      <c r="AT66" s="1">
        <f>SUM(AK67:AK70)</f>
        <v>0</v>
      </c>
    </row>
    <row r="67" spans="1:75" ht="35.1" customHeight="1">
      <c r="A67" s="2" t="s">
        <v>214</v>
      </c>
      <c r="B67" s="3" t="s">
        <v>215</v>
      </c>
      <c r="C67" s="60" t="s">
        <v>216</v>
      </c>
      <c r="D67" s="60"/>
      <c r="E67" s="3" t="s">
        <v>144</v>
      </c>
      <c r="F67" s="21">
        <v>186.2</v>
      </c>
      <c r="G67" s="21">
        <v>0</v>
      </c>
      <c r="H67" s="21">
        <f>ROUND(F67*AN67,2)</f>
        <v>0</v>
      </c>
      <c r="I67" s="21">
        <f>ROUND(F67*AO67,2)</f>
        <v>0</v>
      </c>
      <c r="J67" s="21">
        <f>ROUND(F67*G67,2)</f>
        <v>0</v>
      </c>
      <c r="Y67" s="21">
        <f>ROUND(IF(AP67="5",BI67,0),2)</f>
        <v>0</v>
      </c>
      <c r="AA67" s="21">
        <f>ROUND(IF(AP67="1",BG67,0),2)</f>
        <v>0</v>
      </c>
      <c r="AB67" s="21">
        <f>ROUND(IF(AP67="1",BH67,0),2)</f>
        <v>0</v>
      </c>
      <c r="AC67" s="21">
        <f>ROUND(IF(AP67="7",BG67,0),2)</f>
        <v>0</v>
      </c>
      <c r="AD67" s="21">
        <f>ROUND(IF(AP67="7",BH67,0),2)</f>
        <v>0</v>
      </c>
      <c r="AE67" s="21">
        <f>ROUND(IF(AP67="2",BG67,0),2)</f>
        <v>0</v>
      </c>
      <c r="AF67" s="21">
        <f>ROUND(IF(AP67="2",BH67,0),2)</f>
        <v>0</v>
      </c>
      <c r="AG67" s="21">
        <f>ROUND(IF(AP67="0",BI67,0),2)</f>
        <v>0</v>
      </c>
      <c r="AH67" s="9" t="s">
        <v>48</v>
      </c>
      <c r="AI67" s="21">
        <f>IF(AM67=0,J67,0)</f>
        <v>0</v>
      </c>
      <c r="AJ67" s="21">
        <f>IF(AM67=15,J67,0)</f>
        <v>0</v>
      </c>
      <c r="AK67" s="21">
        <f>IF(AM67=21,J67,0)</f>
        <v>0</v>
      </c>
      <c r="AM67" s="21">
        <v>21</v>
      </c>
      <c r="AN67" s="21">
        <f>G67*0.144436824</f>
        <v>0</v>
      </c>
      <c r="AO67" s="21">
        <f>G67*(1-0.144436824)</f>
        <v>0</v>
      </c>
      <c r="AP67" s="22" t="s">
        <v>51</v>
      </c>
      <c r="AU67" s="21">
        <f>ROUND(AV67+AW67,2)</f>
        <v>0</v>
      </c>
      <c r="AV67" s="21">
        <f>ROUND(F67*AN67,2)</f>
        <v>0</v>
      </c>
      <c r="AW67" s="21">
        <f>ROUND(F67*AO67,2)</f>
        <v>0</v>
      </c>
      <c r="AX67" s="22" t="s">
        <v>217</v>
      </c>
      <c r="AY67" s="22" t="s">
        <v>217</v>
      </c>
      <c r="AZ67" s="9" t="s">
        <v>56</v>
      </c>
      <c r="BB67" s="21">
        <f>AV67+AW67</f>
        <v>0</v>
      </c>
      <c r="BC67" s="21">
        <f>G67/(100-BD67)*100</f>
        <v>0</v>
      </c>
      <c r="BD67" s="21">
        <v>0</v>
      </c>
      <c r="BE67" s="21">
        <f>67</f>
        <v>67</v>
      </c>
      <c r="BG67" s="21">
        <f>F67*AN67</f>
        <v>0</v>
      </c>
      <c r="BH67" s="21">
        <f>F67*AO67</f>
        <v>0</v>
      </c>
      <c r="BI67" s="21">
        <f>F67*G67</f>
        <v>0</v>
      </c>
      <c r="BJ67" s="22" t="s">
        <v>57</v>
      </c>
      <c r="BK67" s="21">
        <v>59</v>
      </c>
      <c r="BV67" s="21">
        <v>21</v>
      </c>
      <c r="BW67" s="4" t="s">
        <v>216</v>
      </c>
    </row>
    <row r="68" spans="1:75" ht="35.1" customHeight="1">
      <c r="A68" s="2" t="s">
        <v>218</v>
      </c>
      <c r="B68" s="3" t="s">
        <v>219</v>
      </c>
      <c r="C68" s="60" t="s">
        <v>220</v>
      </c>
      <c r="D68" s="60"/>
      <c r="E68" s="3" t="s">
        <v>144</v>
      </c>
      <c r="F68" s="21">
        <v>119</v>
      </c>
      <c r="G68" s="21">
        <v>0</v>
      </c>
      <c r="H68" s="21">
        <f>ROUND(F68*AN68,2)</f>
        <v>0</v>
      </c>
      <c r="I68" s="21">
        <f>ROUND(F68*AO68,2)</f>
        <v>0</v>
      </c>
      <c r="J68" s="21">
        <f>ROUND(F68*G68,2)</f>
        <v>0</v>
      </c>
      <c r="Y68" s="21">
        <f>ROUND(IF(AP68="5",BI68,0),2)</f>
        <v>0</v>
      </c>
      <c r="AA68" s="21">
        <f>ROUND(IF(AP68="1",BG68,0),2)</f>
        <v>0</v>
      </c>
      <c r="AB68" s="21">
        <f>ROUND(IF(AP68="1",BH68,0),2)</f>
        <v>0</v>
      </c>
      <c r="AC68" s="21">
        <f>ROUND(IF(AP68="7",BG68,0),2)</f>
        <v>0</v>
      </c>
      <c r="AD68" s="21">
        <f>ROUND(IF(AP68="7",BH68,0),2)</f>
        <v>0</v>
      </c>
      <c r="AE68" s="21">
        <f>ROUND(IF(AP68="2",BG68,0),2)</f>
        <v>0</v>
      </c>
      <c r="AF68" s="21">
        <f>ROUND(IF(AP68="2",BH68,0),2)</f>
        <v>0</v>
      </c>
      <c r="AG68" s="21">
        <f>ROUND(IF(AP68="0",BI68,0),2)</f>
        <v>0</v>
      </c>
      <c r="AH68" s="9" t="s">
        <v>48</v>
      </c>
      <c r="AI68" s="21">
        <f>IF(AM68=0,J68,0)</f>
        <v>0</v>
      </c>
      <c r="AJ68" s="21">
        <f>IF(AM68=15,J68,0)</f>
        <v>0</v>
      </c>
      <c r="AK68" s="21">
        <f>IF(AM68=21,J68,0)</f>
        <v>0</v>
      </c>
      <c r="AM68" s="21">
        <v>21</v>
      </c>
      <c r="AN68" s="21">
        <f>G68*1</f>
        <v>0</v>
      </c>
      <c r="AO68" s="21">
        <f>G68*(1-1)</f>
        <v>0</v>
      </c>
      <c r="AP68" s="22" t="s">
        <v>51</v>
      </c>
      <c r="AU68" s="21">
        <f>ROUND(AV68+AW68,2)</f>
        <v>0</v>
      </c>
      <c r="AV68" s="21">
        <f>ROUND(F68*AN68,2)</f>
        <v>0</v>
      </c>
      <c r="AW68" s="21">
        <f>ROUND(F68*AO68,2)</f>
        <v>0</v>
      </c>
      <c r="AX68" s="22" t="s">
        <v>217</v>
      </c>
      <c r="AY68" s="22" t="s">
        <v>217</v>
      </c>
      <c r="AZ68" s="9" t="s">
        <v>56</v>
      </c>
      <c r="BB68" s="21">
        <f>AV68+AW68</f>
        <v>0</v>
      </c>
      <c r="BC68" s="21">
        <f>G68/(100-BD68)*100</f>
        <v>0</v>
      </c>
      <c r="BD68" s="21">
        <v>0</v>
      </c>
      <c r="BE68" s="21">
        <f>68</f>
        <v>68</v>
      </c>
      <c r="BG68" s="21">
        <f>F68*AN68</f>
        <v>0</v>
      </c>
      <c r="BH68" s="21">
        <f>F68*AO68</f>
        <v>0</v>
      </c>
      <c r="BI68" s="21">
        <f>F68*G68</f>
        <v>0</v>
      </c>
      <c r="BJ68" s="22" t="s">
        <v>66</v>
      </c>
      <c r="BK68" s="21">
        <v>59</v>
      </c>
      <c r="BV68" s="21">
        <v>21</v>
      </c>
      <c r="BW68" s="4" t="s">
        <v>220</v>
      </c>
    </row>
    <row r="69" spans="1:75" ht="35.1" customHeight="1">
      <c r="A69" s="2" t="s">
        <v>221</v>
      </c>
      <c r="B69" s="3" t="s">
        <v>222</v>
      </c>
      <c r="C69" s="60" t="s">
        <v>223</v>
      </c>
      <c r="D69" s="60"/>
      <c r="E69" s="3" t="s">
        <v>144</v>
      </c>
      <c r="F69" s="21">
        <v>40.5</v>
      </c>
      <c r="G69" s="21">
        <v>0</v>
      </c>
      <c r="H69" s="21">
        <f>ROUND(F69*AN69,2)</f>
        <v>0</v>
      </c>
      <c r="I69" s="21">
        <f>ROUND(F69*AO69,2)</f>
        <v>0</v>
      </c>
      <c r="J69" s="21">
        <f>ROUND(F69*G69,2)</f>
        <v>0</v>
      </c>
      <c r="Y69" s="21">
        <f>ROUND(IF(AP69="5",BI69,0),2)</f>
        <v>0</v>
      </c>
      <c r="AA69" s="21">
        <f>ROUND(IF(AP69="1",BG69,0),2)</f>
        <v>0</v>
      </c>
      <c r="AB69" s="21">
        <f>ROUND(IF(AP69="1",BH69,0),2)</f>
        <v>0</v>
      </c>
      <c r="AC69" s="21">
        <f>ROUND(IF(AP69="7",BG69,0),2)</f>
        <v>0</v>
      </c>
      <c r="AD69" s="21">
        <f>ROUND(IF(AP69="7",BH69,0),2)</f>
        <v>0</v>
      </c>
      <c r="AE69" s="21">
        <f>ROUND(IF(AP69="2",BG69,0),2)</f>
        <v>0</v>
      </c>
      <c r="AF69" s="21">
        <f>ROUND(IF(AP69="2",BH69,0),2)</f>
        <v>0</v>
      </c>
      <c r="AG69" s="21">
        <f>ROUND(IF(AP69="0",BI69,0),2)</f>
        <v>0</v>
      </c>
      <c r="AH69" s="9" t="s">
        <v>48</v>
      </c>
      <c r="AI69" s="21">
        <f>IF(AM69=0,J69,0)</f>
        <v>0</v>
      </c>
      <c r="AJ69" s="21">
        <f>IF(AM69=15,J69,0)</f>
        <v>0</v>
      </c>
      <c r="AK69" s="21">
        <f>IF(AM69=21,J69,0)</f>
        <v>0</v>
      </c>
      <c r="AM69" s="21">
        <v>21</v>
      </c>
      <c r="AN69" s="21">
        <f>G69*1</f>
        <v>0</v>
      </c>
      <c r="AO69" s="21">
        <f>G69*(1-1)</f>
        <v>0</v>
      </c>
      <c r="AP69" s="22" t="s">
        <v>51</v>
      </c>
      <c r="AU69" s="21">
        <f>ROUND(AV69+AW69,2)</f>
        <v>0</v>
      </c>
      <c r="AV69" s="21">
        <f>ROUND(F69*AN69,2)</f>
        <v>0</v>
      </c>
      <c r="AW69" s="21">
        <f>ROUND(F69*AO69,2)</f>
        <v>0</v>
      </c>
      <c r="AX69" s="22" t="s">
        <v>217</v>
      </c>
      <c r="AY69" s="22" t="s">
        <v>217</v>
      </c>
      <c r="AZ69" s="9" t="s">
        <v>56</v>
      </c>
      <c r="BB69" s="21">
        <f>AV69+AW69</f>
        <v>0</v>
      </c>
      <c r="BC69" s="21">
        <f>G69/(100-BD69)*100</f>
        <v>0</v>
      </c>
      <c r="BD69" s="21">
        <v>0</v>
      </c>
      <c r="BE69" s="21">
        <f>69</f>
        <v>69</v>
      </c>
      <c r="BG69" s="21">
        <f>F69*AN69</f>
        <v>0</v>
      </c>
      <c r="BH69" s="21">
        <f>F69*AO69</f>
        <v>0</v>
      </c>
      <c r="BI69" s="21">
        <f>F69*G69</f>
        <v>0</v>
      </c>
      <c r="BJ69" s="22" t="s">
        <v>66</v>
      </c>
      <c r="BK69" s="21">
        <v>59</v>
      </c>
      <c r="BV69" s="21">
        <v>21</v>
      </c>
      <c r="BW69" s="4" t="s">
        <v>223</v>
      </c>
    </row>
    <row r="70" spans="1:75" ht="35.1" customHeight="1">
      <c r="A70" s="2" t="s">
        <v>224</v>
      </c>
      <c r="B70" s="3" t="s">
        <v>225</v>
      </c>
      <c r="C70" s="60" t="s">
        <v>226</v>
      </c>
      <c r="D70" s="60"/>
      <c r="E70" s="3" t="s">
        <v>144</v>
      </c>
      <c r="F70" s="21">
        <v>26.7</v>
      </c>
      <c r="G70" s="21">
        <v>0</v>
      </c>
      <c r="H70" s="21">
        <f>ROUND(F70*AN70,2)</f>
        <v>0</v>
      </c>
      <c r="I70" s="21">
        <f>ROUND(F70*AO70,2)</f>
        <v>0</v>
      </c>
      <c r="J70" s="21">
        <f>ROUND(F70*G70,2)</f>
        <v>0</v>
      </c>
      <c r="Y70" s="21">
        <f>ROUND(IF(AP70="5",BI70,0),2)</f>
        <v>0</v>
      </c>
      <c r="AA70" s="21">
        <f>ROUND(IF(AP70="1",BG70,0),2)</f>
        <v>0</v>
      </c>
      <c r="AB70" s="21">
        <f>ROUND(IF(AP70="1",BH70,0),2)</f>
        <v>0</v>
      </c>
      <c r="AC70" s="21">
        <f>ROUND(IF(AP70="7",BG70,0),2)</f>
        <v>0</v>
      </c>
      <c r="AD70" s="21">
        <f>ROUND(IF(AP70="7",BH70,0),2)</f>
        <v>0</v>
      </c>
      <c r="AE70" s="21">
        <f>ROUND(IF(AP70="2",BG70,0),2)</f>
        <v>0</v>
      </c>
      <c r="AF70" s="21">
        <f>ROUND(IF(AP70="2",BH70,0),2)</f>
        <v>0</v>
      </c>
      <c r="AG70" s="21">
        <f>ROUND(IF(AP70="0",BI70,0),2)</f>
        <v>0</v>
      </c>
      <c r="AH70" s="9" t="s">
        <v>48</v>
      </c>
      <c r="AI70" s="21">
        <f>IF(AM70=0,J70,0)</f>
        <v>0</v>
      </c>
      <c r="AJ70" s="21">
        <f>IF(AM70=15,J70,0)</f>
        <v>0</v>
      </c>
      <c r="AK70" s="21">
        <f>IF(AM70=21,J70,0)</f>
        <v>0</v>
      </c>
      <c r="AM70" s="21">
        <v>21</v>
      </c>
      <c r="AN70" s="21">
        <f>G70*1</f>
        <v>0</v>
      </c>
      <c r="AO70" s="21">
        <f>G70*(1-1)</f>
        <v>0</v>
      </c>
      <c r="AP70" s="22" t="s">
        <v>51</v>
      </c>
      <c r="AU70" s="21">
        <f>ROUND(AV70+AW70,2)</f>
        <v>0</v>
      </c>
      <c r="AV70" s="21">
        <f>ROUND(F70*AN70,2)</f>
        <v>0</v>
      </c>
      <c r="AW70" s="21">
        <f>ROUND(F70*AO70,2)</f>
        <v>0</v>
      </c>
      <c r="AX70" s="22" t="s">
        <v>217</v>
      </c>
      <c r="AY70" s="22" t="s">
        <v>217</v>
      </c>
      <c r="AZ70" s="9" t="s">
        <v>56</v>
      </c>
      <c r="BB70" s="21">
        <f>AV70+AW70</f>
        <v>0</v>
      </c>
      <c r="BC70" s="21">
        <f>G70/(100-BD70)*100</f>
        <v>0</v>
      </c>
      <c r="BD70" s="21">
        <v>0</v>
      </c>
      <c r="BE70" s="21">
        <f>70</f>
        <v>70</v>
      </c>
      <c r="BG70" s="21">
        <f>F70*AN70</f>
        <v>0</v>
      </c>
      <c r="BH70" s="21">
        <f>F70*AO70</f>
        <v>0</v>
      </c>
      <c r="BI70" s="21">
        <f>F70*G70</f>
        <v>0</v>
      </c>
      <c r="BJ70" s="22" t="s">
        <v>66</v>
      </c>
      <c r="BK70" s="21">
        <v>59</v>
      </c>
      <c r="BV70" s="21">
        <v>21</v>
      </c>
      <c r="BW70" s="4" t="s">
        <v>226</v>
      </c>
    </row>
    <row r="71" spans="1:75" ht="35.1" customHeight="1">
      <c r="A71" s="23" t="s">
        <v>48</v>
      </c>
      <c r="B71" s="24" t="s">
        <v>227</v>
      </c>
      <c r="C71" s="68" t="s">
        <v>228</v>
      </c>
      <c r="D71" s="68"/>
      <c r="E71" s="25" t="s">
        <v>4</v>
      </c>
      <c r="F71" s="25" t="s">
        <v>4</v>
      </c>
      <c r="G71" s="25" t="s">
        <v>4</v>
      </c>
      <c r="H71" s="1">
        <f>ROUND(SUM(H72:H74),2)</f>
        <v>0</v>
      </c>
      <c r="I71" s="1">
        <f>ROUND(SUM(I72:I74),2)</f>
        <v>0</v>
      </c>
      <c r="J71" s="1">
        <f>ROUND(SUM(J72:J74),2)</f>
        <v>0</v>
      </c>
      <c r="AH71" s="9" t="s">
        <v>48</v>
      </c>
      <c r="AR71" s="1">
        <f>SUM(AI72:AI74)</f>
        <v>0</v>
      </c>
      <c r="AS71" s="1">
        <f>SUM(AJ72:AJ74)</f>
        <v>0</v>
      </c>
      <c r="AT71" s="1">
        <f>SUM(AK72:AK74)</f>
        <v>0</v>
      </c>
    </row>
    <row r="72" spans="1:75" ht="35.1" customHeight="1">
      <c r="A72" s="2" t="s">
        <v>229</v>
      </c>
      <c r="B72" s="3" t="s">
        <v>230</v>
      </c>
      <c r="C72" s="60" t="s">
        <v>231</v>
      </c>
      <c r="D72" s="60"/>
      <c r="E72" s="3" t="s">
        <v>54</v>
      </c>
      <c r="F72" s="21">
        <v>8</v>
      </c>
      <c r="G72" s="21">
        <v>0</v>
      </c>
      <c r="H72" s="21">
        <f>ROUND(F72*AN72,2)</f>
        <v>0</v>
      </c>
      <c r="I72" s="21">
        <f>ROUND(F72*AO72,2)</f>
        <v>0</v>
      </c>
      <c r="J72" s="21">
        <f>ROUND(F72*G72,2)</f>
        <v>0</v>
      </c>
      <c r="Y72" s="21">
        <f>ROUND(IF(AP72="5",BI72,0),2)</f>
        <v>0</v>
      </c>
      <c r="AA72" s="21">
        <f>ROUND(IF(AP72="1",BG72,0),2)</f>
        <v>0</v>
      </c>
      <c r="AB72" s="21">
        <f>ROUND(IF(AP72="1",BH72,0),2)</f>
        <v>0</v>
      </c>
      <c r="AC72" s="21">
        <f>ROUND(IF(AP72="7",BG72,0),2)</f>
        <v>0</v>
      </c>
      <c r="AD72" s="21">
        <f>ROUND(IF(AP72="7",BH72,0),2)</f>
        <v>0</v>
      </c>
      <c r="AE72" s="21">
        <f>ROUND(IF(AP72="2",BG72,0),2)</f>
        <v>0</v>
      </c>
      <c r="AF72" s="21">
        <f>ROUND(IF(AP72="2",BH72,0),2)</f>
        <v>0</v>
      </c>
      <c r="AG72" s="21">
        <f>ROUND(IF(AP72="0",BI72,0),2)</f>
        <v>0</v>
      </c>
      <c r="AH72" s="9" t="s">
        <v>48</v>
      </c>
      <c r="AI72" s="21">
        <f>IF(AM72=0,J72,0)</f>
        <v>0</v>
      </c>
      <c r="AJ72" s="21">
        <f>IF(AM72=15,J72,0)</f>
        <v>0</v>
      </c>
      <c r="AK72" s="21">
        <f>IF(AM72=21,J72,0)</f>
        <v>0</v>
      </c>
      <c r="AM72" s="21">
        <v>21</v>
      </c>
      <c r="AN72" s="21">
        <f>G72*0.727125</f>
        <v>0</v>
      </c>
      <c r="AO72" s="21">
        <f>G72*(1-0.727125)</f>
        <v>0</v>
      </c>
      <c r="AP72" s="22" t="s">
        <v>51</v>
      </c>
      <c r="AU72" s="21">
        <f>ROUND(AV72+AW72,2)</f>
        <v>0</v>
      </c>
      <c r="AV72" s="21">
        <f>ROUND(F72*AN72,2)</f>
        <v>0</v>
      </c>
      <c r="AW72" s="21">
        <f>ROUND(F72*AO72,2)</f>
        <v>0</v>
      </c>
      <c r="AX72" s="22" t="s">
        <v>232</v>
      </c>
      <c r="AY72" s="22" t="s">
        <v>232</v>
      </c>
      <c r="AZ72" s="9" t="s">
        <v>56</v>
      </c>
      <c r="BB72" s="21">
        <f>AV72+AW72</f>
        <v>0</v>
      </c>
      <c r="BC72" s="21">
        <f>G72/(100-BD72)*100</f>
        <v>0</v>
      </c>
      <c r="BD72" s="21">
        <v>0</v>
      </c>
      <c r="BE72" s="21">
        <f>72</f>
        <v>72</v>
      </c>
      <c r="BG72" s="21">
        <f>F72*AN72</f>
        <v>0</v>
      </c>
      <c r="BH72" s="21">
        <f>F72*AO72</f>
        <v>0</v>
      </c>
      <c r="BI72" s="21">
        <f>F72*G72</f>
        <v>0</v>
      </c>
      <c r="BJ72" s="22" t="s">
        <v>57</v>
      </c>
      <c r="BK72" s="21">
        <v>89</v>
      </c>
      <c r="BV72" s="21">
        <v>21</v>
      </c>
      <c r="BW72" s="4" t="s">
        <v>231</v>
      </c>
    </row>
    <row r="73" spans="1:75" ht="35.1" customHeight="1">
      <c r="A73" s="2" t="s">
        <v>233</v>
      </c>
      <c r="B73" s="3" t="s">
        <v>234</v>
      </c>
      <c r="C73" s="60" t="s">
        <v>235</v>
      </c>
      <c r="D73" s="60"/>
      <c r="E73" s="3" t="s">
        <v>54</v>
      </c>
      <c r="F73" s="21">
        <v>8</v>
      </c>
      <c r="G73" s="21">
        <v>0</v>
      </c>
      <c r="H73" s="21">
        <f>ROUND(F73*AN73,2)</f>
        <v>0</v>
      </c>
      <c r="I73" s="21">
        <f>ROUND(F73*AO73,2)</f>
        <v>0</v>
      </c>
      <c r="J73" s="21">
        <f>ROUND(F73*G73,2)</f>
        <v>0</v>
      </c>
      <c r="Y73" s="21">
        <f>ROUND(IF(AP73="5",BI73,0),2)</f>
        <v>0</v>
      </c>
      <c r="AA73" s="21">
        <f>ROUND(IF(AP73="1",BG73,0),2)</f>
        <v>0</v>
      </c>
      <c r="AB73" s="21">
        <f>ROUND(IF(AP73="1",BH73,0),2)</f>
        <v>0</v>
      </c>
      <c r="AC73" s="21">
        <f>ROUND(IF(AP73="7",BG73,0),2)</f>
        <v>0</v>
      </c>
      <c r="AD73" s="21">
        <f>ROUND(IF(AP73="7",BH73,0),2)</f>
        <v>0</v>
      </c>
      <c r="AE73" s="21">
        <f>ROUND(IF(AP73="2",BG73,0),2)</f>
        <v>0</v>
      </c>
      <c r="AF73" s="21">
        <f>ROUND(IF(AP73="2",BH73,0),2)</f>
        <v>0</v>
      </c>
      <c r="AG73" s="21">
        <f>ROUND(IF(AP73="0",BI73,0),2)</f>
        <v>0</v>
      </c>
      <c r="AH73" s="9" t="s">
        <v>48</v>
      </c>
      <c r="AI73" s="21">
        <f>IF(AM73=0,J73,0)</f>
        <v>0</v>
      </c>
      <c r="AJ73" s="21">
        <f>IF(AM73=15,J73,0)</f>
        <v>0</v>
      </c>
      <c r="AK73" s="21">
        <f>IF(AM73=21,J73,0)</f>
        <v>0</v>
      </c>
      <c r="AM73" s="21">
        <v>21</v>
      </c>
      <c r="AN73" s="21">
        <f>G73*0.679280733</f>
        <v>0</v>
      </c>
      <c r="AO73" s="21">
        <f>G73*(1-0.679280733)</f>
        <v>0</v>
      </c>
      <c r="AP73" s="22" t="s">
        <v>51</v>
      </c>
      <c r="AU73" s="21">
        <f>ROUND(AV73+AW73,2)</f>
        <v>0</v>
      </c>
      <c r="AV73" s="21">
        <f>ROUND(F73*AN73,2)</f>
        <v>0</v>
      </c>
      <c r="AW73" s="21">
        <f>ROUND(F73*AO73,2)</f>
        <v>0</v>
      </c>
      <c r="AX73" s="22" t="s">
        <v>232</v>
      </c>
      <c r="AY73" s="22" t="s">
        <v>232</v>
      </c>
      <c r="AZ73" s="9" t="s">
        <v>56</v>
      </c>
      <c r="BB73" s="21">
        <f>AV73+AW73</f>
        <v>0</v>
      </c>
      <c r="BC73" s="21">
        <f>G73/(100-BD73)*100</f>
        <v>0</v>
      </c>
      <c r="BD73" s="21">
        <v>0</v>
      </c>
      <c r="BE73" s="21">
        <f>73</f>
        <v>73</v>
      </c>
      <c r="BG73" s="21">
        <f>F73*AN73</f>
        <v>0</v>
      </c>
      <c r="BH73" s="21">
        <f>F73*AO73</f>
        <v>0</v>
      </c>
      <c r="BI73" s="21">
        <f>F73*G73</f>
        <v>0</v>
      </c>
      <c r="BJ73" s="22" t="s">
        <v>57</v>
      </c>
      <c r="BK73" s="21">
        <v>89</v>
      </c>
      <c r="BV73" s="21">
        <v>21</v>
      </c>
      <c r="BW73" s="4" t="s">
        <v>235</v>
      </c>
    </row>
    <row r="74" spans="1:75" ht="35.1" customHeight="1">
      <c r="A74" s="2" t="s">
        <v>236</v>
      </c>
      <c r="B74" s="3" t="s">
        <v>237</v>
      </c>
      <c r="C74" s="60" t="s">
        <v>238</v>
      </c>
      <c r="D74" s="60"/>
      <c r="E74" s="3" t="s">
        <v>54</v>
      </c>
      <c r="F74" s="21">
        <v>8</v>
      </c>
      <c r="G74" s="21">
        <v>0</v>
      </c>
      <c r="H74" s="21">
        <f>ROUND(F74*AN74,2)</f>
        <v>0</v>
      </c>
      <c r="I74" s="21">
        <f>ROUND(F74*AO74,2)</f>
        <v>0</v>
      </c>
      <c r="J74" s="21">
        <f>ROUND(F74*G74,2)</f>
        <v>0</v>
      </c>
      <c r="Y74" s="21">
        <f>ROUND(IF(AP74="5",BI74,0),2)</f>
        <v>0</v>
      </c>
      <c r="AA74" s="21">
        <f>ROUND(IF(AP74="1",BG74,0),2)</f>
        <v>0</v>
      </c>
      <c r="AB74" s="21">
        <f>ROUND(IF(AP74="1",BH74,0),2)</f>
        <v>0</v>
      </c>
      <c r="AC74" s="21">
        <f>ROUND(IF(AP74="7",BG74,0),2)</f>
        <v>0</v>
      </c>
      <c r="AD74" s="21">
        <f>ROUND(IF(AP74="7",BH74,0),2)</f>
        <v>0</v>
      </c>
      <c r="AE74" s="21">
        <f>ROUND(IF(AP74="2",BG74,0),2)</f>
        <v>0</v>
      </c>
      <c r="AF74" s="21">
        <f>ROUND(IF(AP74="2",BH74,0),2)</f>
        <v>0</v>
      </c>
      <c r="AG74" s="21">
        <f>ROUND(IF(AP74="0",BI74,0),2)</f>
        <v>0</v>
      </c>
      <c r="AH74" s="9" t="s">
        <v>48</v>
      </c>
      <c r="AI74" s="21">
        <f>IF(AM74=0,J74,0)</f>
        <v>0</v>
      </c>
      <c r="AJ74" s="21">
        <f>IF(AM74=15,J74,0)</f>
        <v>0</v>
      </c>
      <c r="AK74" s="21">
        <f>IF(AM74=21,J74,0)</f>
        <v>0</v>
      </c>
      <c r="AM74" s="21">
        <v>21</v>
      </c>
      <c r="AN74" s="21">
        <f>G74*1</f>
        <v>0</v>
      </c>
      <c r="AO74" s="21">
        <f>G74*(1-1)</f>
        <v>0</v>
      </c>
      <c r="AP74" s="22" t="s">
        <v>51</v>
      </c>
      <c r="AU74" s="21">
        <f>ROUND(AV74+AW74,2)</f>
        <v>0</v>
      </c>
      <c r="AV74" s="21">
        <f>ROUND(F74*AN74,2)</f>
        <v>0</v>
      </c>
      <c r="AW74" s="21">
        <f>ROUND(F74*AO74,2)</f>
        <v>0</v>
      </c>
      <c r="AX74" s="22" t="s">
        <v>232</v>
      </c>
      <c r="AY74" s="22" t="s">
        <v>232</v>
      </c>
      <c r="AZ74" s="9" t="s">
        <v>56</v>
      </c>
      <c r="BB74" s="21">
        <f>AV74+AW74</f>
        <v>0</v>
      </c>
      <c r="BC74" s="21">
        <f>G74/(100-BD74)*100</f>
        <v>0</v>
      </c>
      <c r="BD74" s="21">
        <v>0</v>
      </c>
      <c r="BE74" s="21">
        <f>74</f>
        <v>74</v>
      </c>
      <c r="BG74" s="21">
        <f>F74*AN74</f>
        <v>0</v>
      </c>
      <c r="BH74" s="21">
        <f>F74*AO74</f>
        <v>0</v>
      </c>
      <c r="BI74" s="21">
        <f>F74*G74</f>
        <v>0</v>
      </c>
      <c r="BJ74" s="22" t="s">
        <v>66</v>
      </c>
      <c r="BK74" s="21">
        <v>89</v>
      </c>
      <c r="BV74" s="21">
        <v>21</v>
      </c>
      <c r="BW74" s="4" t="s">
        <v>238</v>
      </c>
    </row>
    <row r="75" spans="1:75" ht="35.1" customHeight="1">
      <c r="A75" s="23" t="s">
        <v>48</v>
      </c>
      <c r="B75" s="24" t="s">
        <v>239</v>
      </c>
      <c r="C75" s="68" t="s">
        <v>240</v>
      </c>
      <c r="D75" s="68"/>
      <c r="E75" s="25" t="s">
        <v>4</v>
      </c>
      <c r="F75" s="25" t="s">
        <v>4</v>
      </c>
      <c r="G75" s="25" t="s">
        <v>4</v>
      </c>
      <c r="H75" s="1">
        <f>ROUND(SUM(H76:H88),2)</f>
        <v>0</v>
      </c>
      <c r="I75" s="1">
        <f>ROUND(SUM(I76:I88),2)</f>
        <v>0</v>
      </c>
      <c r="J75" s="1">
        <f>ROUND(SUM(J76:J88),2)</f>
        <v>0</v>
      </c>
      <c r="AH75" s="9" t="s">
        <v>48</v>
      </c>
      <c r="AR75" s="1">
        <f>SUM(AI76:AI88)</f>
        <v>0</v>
      </c>
      <c r="AS75" s="1">
        <f>SUM(AJ76:AJ88)</f>
        <v>0</v>
      </c>
      <c r="AT75" s="1">
        <f>SUM(AK76:AK88)</f>
        <v>0</v>
      </c>
    </row>
    <row r="76" spans="1:75" ht="35.1" customHeight="1">
      <c r="A76" s="2" t="s">
        <v>241</v>
      </c>
      <c r="B76" s="3" t="s">
        <v>242</v>
      </c>
      <c r="C76" s="60" t="s">
        <v>243</v>
      </c>
      <c r="D76" s="60"/>
      <c r="E76" s="3" t="s">
        <v>172</v>
      </c>
      <c r="F76" s="21">
        <v>843</v>
      </c>
      <c r="G76" s="21">
        <v>0</v>
      </c>
      <c r="H76" s="21">
        <f>ROUND(F76*AN76,2)</f>
        <v>0</v>
      </c>
      <c r="I76" s="21">
        <f>ROUND(F76*AO76,2)</f>
        <v>0</v>
      </c>
      <c r="J76" s="21">
        <f t="shared" ref="J76:J88" si="44">ROUND(F76*G76,2)</f>
        <v>0</v>
      </c>
      <c r="Y76" s="21">
        <f t="shared" ref="Y76:Y88" si="45">ROUND(IF(AP76="5",BI76,0),2)</f>
        <v>0</v>
      </c>
      <c r="AA76" s="21">
        <f t="shared" ref="AA76:AA88" si="46">ROUND(IF(AP76="1",BG76,0),2)</f>
        <v>0</v>
      </c>
      <c r="AB76" s="21">
        <f t="shared" ref="AB76:AB88" si="47">ROUND(IF(AP76="1",BH76,0),2)</f>
        <v>0</v>
      </c>
      <c r="AC76" s="21">
        <f t="shared" ref="AC76:AC88" si="48">ROUND(IF(AP76="7",BG76,0),2)</f>
        <v>0</v>
      </c>
      <c r="AD76" s="21">
        <f t="shared" ref="AD76:AD88" si="49">ROUND(IF(AP76="7",BH76,0),2)</f>
        <v>0</v>
      </c>
      <c r="AE76" s="21">
        <f t="shared" ref="AE76:AE88" si="50">ROUND(IF(AP76="2",BG76,0),2)</f>
        <v>0</v>
      </c>
      <c r="AF76" s="21">
        <f t="shared" ref="AF76:AF88" si="51">ROUND(IF(AP76="2",BH76,0),2)</f>
        <v>0</v>
      </c>
      <c r="AG76" s="21">
        <f t="shared" ref="AG76:AG88" si="52">ROUND(IF(AP76="0",BI76,0),2)</f>
        <v>0</v>
      </c>
      <c r="AH76" s="9" t="s">
        <v>48</v>
      </c>
      <c r="AI76" s="21">
        <f>IF(AM76=0,J76,0)</f>
        <v>0</v>
      </c>
      <c r="AJ76" s="21">
        <f>IF(AM76=15,J76,0)</f>
        <v>0</v>
      </c>
      <c r="AK76" s="21">
        <f>IF(AM76=21,J76,0)</f>
        <v>0</v>
      </c>
      <c r="AM76" s="21">
        <v>21</v>
      </c>
      <c r="AN76" s="21">
        <f>G76*0.548237223</f>
        <v>0</v>
      </c>
      <c r="AO76" s="21">
        <f>G76*(1-0.548237223)</f>
        <v>0</v>
      </c>
      <c r="AP76" s="22" t="s">
        <v>51</v>
      </c>
      <c r="AU76" s="21">
        <f t="shared" ref="AU76:AU88" si="53">ROUND(AV76+AW76,2)</f>
        <v>0</v>
      </c>
      <c r="AV76" s="21">
        <f>ROUND(F76*AN76,2)</f>
        <v>0</v>
      </c>
      <c r="AW76" s="21">
        <f>ROUND(F76*AO76,2)</f>
        <v>0</v>
      </c>
      <c r="AX76" s="22" t="s">
        <v>244</v>
      </c>
      <c r="AY76" s="22" t="s">
        <v>244</v>
      </c>
      <c r="AZ76" s="9" t="s">
        <v>56</v>
      </c>
      <c r="BB76" s="21">
        <f t="shared" ref="BB76:BB88" si="54">AV76+AW76</f>
        <v>0</v>
      </c>
      <c r="BC76" s="21">
        <f>G76/(100-BD76)*100</f>
        <v>0</v>
      </c>
      <c r="BD76" s="21">
        <v>0</v>
      </c>
      <c r="BE76" s="21">
        <f>76</f>
        <v>76</v>
      </c>
      <c r="BG76" s="21">
        <f>F76*AN76</f>
        <v>0</v>
      </c>
      <c r="BH76" s="21">
        <f>F76*AO76</f>
        <v>0</v>
      </c>
      <c r="BI76" s="21">
        <f>F76*G76</f>
        <v>0</v>
      </c>
      <c r="BJ76" s="22" t="s">
        <v>57</v>
      </c>
      <c r="BK76" s="21">
        <v>91</v>
      </c>
      <c r="BV76" s="21">
        <v>21</v>
      </c>
      <c r="BW76" s="4" t="s">
        <v>243</v>
      </c>
    </row>
    <row r="77" spans="1:75" ht="35.1" customHeight="1">
      <c r="A77" s="2" t="s">
        <v>245</v>
      </c>
      <c r="B77" s="3" t="s">
        <v>246</v>
      </c>
      <c r="C77" s="60" t="s">
        <v>247</v>
      </c>
      <c r="D77" s="60"/>
      <c r="E77" s="3" t="s">
        <v>54</v>
      </c>
      <c r="F77" s="21">
        <v>117</v>
      </c>
      <c r="G77" s="21">
        <v>0</v>
      </c>
      <c r="H77" s="21">
        <f>ROUND(F77*AN77,2)</f>
        <v>0</v>
      </c>
      <c r="I77" s="21">
        <f>ROUND(F77*AO77,2)</f>
        <v>0</v>
      </c>
      <c r="J77" s="21">
        <f t="shared" si="44"/>
        <v>0</v>
      </c>
      <c r="Y77" s="21">
        <f t="shared" si="45"/>
        <v>0</v>
      </c>
      <c r="AA77" s="21">
        <f t="shared" si="46"/>
        <v>0</v>
      </c>
      <c r="AB77" s="21">
        <f t="shared" si="47"/>
        <v>0</v>
      </c>
      <c r="AC77" s="21">
        <f t="shared" si="48"/>
        <v>0</v>
      </c>
      <c r="AD77" s="21">
        <f t="shared" si="49"/>
        <v>0</v>
      </c>
      <c r="AE77" s="21">
        <f t="shared" si="50"/>
        <v>0</v>
      </c>
      <c r="AF77" s="21">
        <f t="shared" si="51"/>
        <v>0</v>
      </c>
      <c r="AG77" s="21">
        <f t="shared" si="52"/>
        <v>0</v>
      </c>
      <c r="AH77" s="9" t="s">
        <v>48</v>
      </c>
      <c r="AI77" s="21">
        <f>IF(AM77=0,J77,0)</f>
        <v>0</v>
      </c>
      <c r="AJ77" s="21">
        <f>IF(AM77=15,J77,0)</f>
        <v>0</v>
      </c>
      <c r="AK77" s="21">
        <f>IF(AM77=21,J77,0)</f>
        <v>0</v>
      </c>
      <c r="AM77" s="21">
        <v>21</v>
      </c>
      <c r="AN77" s="21">
        <f>G77*1</f>
        <v>0</v>
      </c>
      <c r="AO77" s="21">
        <f>G77*(1-1)</f>
        <v>0</v>
      </c>
      <c r="AP77" s="22" t="s">
        <v>51</v>
      </c>
      <c r="AU77" s="21">
        <f t="shared" si="53"/>
        <v>0</v>
      </c>
      <c r="AV77" s="21">
        <f>ROUND(F77*AN77,2)</f>
        <v>0</v>
      </c>
      <c r="AW77" s="21">
        <f>ROUND(F77*AO77,2)</f>
        <v>0</v>
      </c>
      <c r="AX77" s="22" t="s">
        <v>244</v>
      </c>
      <c r="AY77" s="22" t="s">
        <v>244</v>
      </c>
      <c r="AZ77" s="9" t="s">
        <v>56</v>
      </c>
      <c r="BB77" s="21">
        <f t="shared" si="54"/>
        <v>0</v>
      </c>
      <c r="BC77" s="21">
        <f>G77/(100-BD77)*100</f>
        <v>0</v>
      </c>
      <c r="BD77" s="21">
        <v>0</v>
      </c>
      <c r="BE77" s="21">
        <f>77</f>
        <v>77</v>
      </c>
      <c r="BG77" s="21">
        <f>F77*AN77</f>
        <v>0</v>
      </c>
      <c r="BH77" s="21">
        <f>F77*AO77</f>
        <v>0</v>
      </c>
      <c r="BI77" s="21">
        <f>F77*G77</f>
        <v>0</v>
      </c>
      <c r="BJ77" s="22" t="s">
        <v>66</v>
      </c>
      <c r="BK77" s="21">
        <v>91</v>
      </c>
      <c r="BV77" s="21">
        <v>21</v>
      </c>
      <c r="BW77" s="4" t="s">
        <v>247</v>
      </c>
    </row>
    <row r="78" spans="1:75" ht="35.1" customHeight="1">
      <c r="A78" s="2" t="s">
        <v>248</v>
      </c>
      <c r="B78" s="3" t="s">
        <v>249</v>
      </c>
      <c r="C78" s="60" t="s">
        <v>250</v>
      </c>
      <c r="D78" s="60"/>
      <c r="E78" s="3" t="s">
        <v>54</v>
      </c>
      <c r="F78" s="21">
        <v>34</v>
      </c>
      <c r="G78" s="21">
        <v>0</v>
      </c>
      <c r="H78" s="21">
        <f>ROUND(F78*AN78,2)</f>
        <v>0</v>
      </c>
      <c r="I78" s="21">
        <f>ROUND(F78*AO78,2)</f>
        <v>0</v>
      </c>
      <c r="J78" s="21">
        <f t="shared" si="44"/>
        <v>0</v>
      </c>
      <c r="Y78" s="21">
        <f t="shared" si="45"/>
        <v>0</v>
      </c>
      <c r="AA78" s="21">
        <f t="shared" si="46"/>
        <v>0</v>
      </c>
      <c r="AB78" s="21">
        <f t="shared" si="47"/>
        <v>0</v>
      </c>
      <c r="AC78" s="21">
        <f t="shared" si="48"/>
        <v>0</v>
      </c>
      <c r="AD78" s="21">
        <f t="shared" si="49"/>
        <v>0</v>
      </c>
      <c r="AE78" s="21">
        <f t="shared" si="50"/>
        <v>0</v>
      </c>
      <c r="AF78" s="21">
        <f t="shared" si="51"/>
        <v>0</v>
      </c>
      <c r="AG78" s="21">
        <f t="shared" si="52"/>
        <v>0</v>
      </c>
      <c r="AH78" s="9" t="s">
        <v>48</v>
      </c>
      <c r="AI78" s="21">
        <f>IF(AM78=0,J78,0)</f>
        <v>0</v>
      </c>
      <c r="AJ78" s="21">
        <f>IF(AM78=15,J78,0)</f>
        <v>0</v>
      </c>
      <c r="AK78" s="21">
        <f>IF(AM78=21,J78,0)</f>
        <v>0</v>
      </c>
      <c r="AM78" s="21">
        <v>21</v>
      </c>
      <c r="AN78" s="21">
        <f>G78*1</f>
        <v>0</v>
      </c>
      <c r="AO78" s="21">
        <f>G78*(1-1)</f>
        <v>0</v>
      </c>
      <c r="AP78" s="22" t="s">
        <v>51</v>
      </c>
      <c r="AU78" s="21">
        <f t="shared" si="53"/>
        <v>0</v>
      </c>
      <c r="AV78" s="21">
        <f>ROUND(F78*AN78,2)</f>
        <v>0</v>
      </c>
      <c r="AW78" s="21">
        <f>ROUND(F78*AO78,2)</f>
        <v>0</v>
      </c>
      <c r="AX78" s="22" t="s">
        <v>244</v>
      </c>
      <c r="AY78" s="22" t="s">
        <v>244</v>
      </c>
      <c r="AZ78" s="9" t="s">
        <v>56</v>
      </c>
      <c r="BB78" s="21">
        <f t="shared" si="54"/>
        <v>0</v>
      </c>
      <c r="BC78" s="21">
        <f>G78/(100-BD78)*100</f>
        <v>0</v>
      </c>
      <c r="BD78" s="21">
        <v>0</v>
      </c>
      <c r="BE78" s="21">
        <f>78</f>
        <v>78</v>
      </c>
      <c r="BG78" s="21">
        <f>F78*AN78</f>
        <v>0</v>
      </c>
      <c r="BH78" s="21">
        <f>F78*AO78</f>
        <v>0</v>
      </c>
      <c r="BI78" s="21">
        <f>F78*G78</f>
        <v>0</v>
      </c>
      <c r="BJ78" s="22" t="s">
        <v>66</v>
      </c>
      <c r="BK78" s="21">
        <v>91</v>
      </c>
      <c r="BV78" s="21">
        <v>21</v>
      </c>
      <c r="BW78" s="4" t="s">
        <v>250</v>
      </c>
    </row>
    <row r="79" spans="1:75" ht="35.1" customHeight="1">
      <c r="A79" s="2" t="s">
        <v>251</v>
      </c>
      <c r="B79" s="3" t="s">
        <v>252</v>
      </c>
      <c r="C79" s="60" t="s">
        <v>253</v>
      </c>
      <c r="D79" s="60"/>
      <c r="E79" s="3" t="s">
        <v>54</v>
      </c>
      <c r="F79" s="21">
        <v>64</v>
      </c>
      <c r="G79" s="21">
        <v>0</v>
      </c>
      <c r="H79" s="21">
        <f>ROUND(F79*AN79,2)</f>
        <v>0</v>
      </c>
      <c r="I79" s="21">
        <f>ROUND(F79*AO79,2)</f>
        <v>0</v>
      </c>
      <c r="J79" s="21">
        <f t="shared" si="44"/>
        <v>0</v>
      </c>
      <c r="Y79" s="21">
        <f t="shared" si="45"/>
        <v>0</v>
      </c>
      <c r="AA79" s="21">
        <f t="shared" si="46"/>
        <v>0</v>
      </c>
      <c r="AB79" s="21">
        <f t="shared" si="47"/>
        <v>0</v>
      </c>
      <c r="AC79" s="21">
        <f t="shared" si="48"/>
        <v>0</v>
      </c>
      <c r="AD79" s="21">
        <f t="shared" si="49"/>
        <v>0</v>
      </c>
      <c r="AE79" s="21">
        <f t="shared" si="50"/>
        <v>0</v>
      </c>
      <c r="AF79" s="21">
        <f t="shared" si="51"/>
        <v>0</v>
      </c>
      <c r="AG79" s="21">
        <f t="shared" si="52"/>
        <v>0</v>
      </c>
      <c r="AH79" s="9" t="s">
        <v>48</v>
      </c>
      <c r="AI79" s="21">
        <f>IF(AM79=0,J79,0)</f>
        <v>0</v>
      </c>
      <c r="AJ79" s="21">
        <f>IF(AM79=15,J79,0)</f>
        <v>0</v>
      </c>
      <c r="AK79" s="21">
        <f>IF(AM79=21,J79,0)</f>
        <v>0</v>
      </c>
      <c r="AM79" s="21">
        <v>21</v>
      </c>
      <c r="AN79" s="21">
        <f>G79*1</f>
        <v>0</v>
      </c>
      <c r="AO79" s="21">
        <f>G79*(1-1)</f>
        <v>0</v>
      </c>
      <c r="AP79" s="22" t="s">
        <v>51</v>
      </c>
      <c r="AU79" s="21">
        <f t="shared" si="53"/>
        <v>0</v>
      </c>
      <c r="AV79" s="21">
        <f>ROUND(F79*AN79,2)</f>
        <v>0</v>
      </c>
      <c r="AW79" s="21">
        <f>ROUND(F79*AO79,2)</f>
        <v>0</v>
      </c>
      <c r="AX79" s="22" t="s">
        <v>244</v>
      </c>
      <c r="AY79" s="22" t="s">
        <v>244</v>
      </c>
      <c r="AZ79" s="9" t="s">
        <v>56</v>
      </c>
      <c r="BB79" s="21">
        <f t="shared" si="54"/>
        <v>0</v>
      </c>
      <c r="BC79" s="21">
        <f>G79/(100-BD79)*100</f>
        <v>0</v>
      </c>
      <c r="BD79" s="21">
        <v>0</v>
      </c>
      <c r="BE79" s="21">
        <f>79</f>
        <v>79</v>
      </c>
      <c r="BG79" s="21">
        <f>F79*AN79</f>
        <v>0</v>
      </c>
      <c r="BH79" s="21">
        <f>F79*AO79</f>
        <v>0</v>
      </c>
      <c r="BI79" s="21">
        <f>F79*G79</f>
        <v>0</v>
      </c>
      <c r="BJ79" s="22" t="s">
        <v>66</v>
      </c>
      <c r="BK79" s="21">
        <v>91</v>
      </c>
      <c r="BV79" s="21">
        <v>21</v>
      </c>
      <c r="BW79" s="4" t="s">
        <v>253</v>
      </c>
    </row>
    <row r="80" spans="1:75" ht="35.1" customHeight="1">
      <c r="A80" s="2" t="s">
        <v>182</v>
      </c>
      <c r="B80" s="3" t="s">
        <v>254</v>
      </c>
      <c r="C80" s="60" t="s">
        <v>255</v>
      </c>
      <c r="D80" s="60"/>
      <c r="E80" s="3" t="s">
        <v>54</v>
      </c>
      <c r="F80" s="21">
        <v>628</v>
      </c>
      <c r="G80" s="21">
        <v>0</v>
      </c>
      <c r="H80" s="21">
        <f>ROUND(F80*AN80,2)</f>
        <v>0</v>
      </c>
      <c r="I80" s="21">
        <f>ROUND(F80*AO80,2)</f>
        <v>0</v>
      </c>
      <c r="J80" s="21">
        <f t="shared" si="44"/>
        <v>0</v>
      </c>
      <c r="Y80" s="21">
        <f t="shared" si="45"/>
        <v>0</v>
      </c>
      <c r="AA80" s="21">
        <f t="shared" si="46"/>
        <v>0</v>
      </c>
      <c r="AB80" s="21">
        <f t="shared" si="47"/>
        <v>0</v>
      </c>
      <c r="AC80" s="21">
        <f t="shared" si="48"/>
        <v>0</v>
      </c>
      <c r="AD80" s="21">
        <f t="shared" si="49"/>
        <v>0</v>
      </c>
      <c r="AE80" s="21">
        <f t="shared" si="50"/>
        <v>0</v>
      </c>
      <c r="AF80" s="21">
        <f t="shared" si="51"/>
        <v>0</v>
      </c>
      <c r="AG80" s="21">
        <f t="shared" si="52"/>
        <v>0</v>
      </c>
      <c r="AH80" s="9" t="s">
        <v>48</v>
      </c>
      <c r="AI80" s="21">
        <f>IF(AM80=0,J80,0)</f>
        <v>0</v>
      </c>
      <c r="AJ80" s="21">
        <f>IF(AM80=15,J80,0)</f>
        <v>0</v>
      </c>
      <c r="AK80" s="21">
        <f>IF(AM80=21,J80,0)</f>
        <v>0</v>
      </c>
      <c r="AM80" s="21">
        <v>21</v>
      </c>
      <c r="AN80" s="21">
        <f>G80*1</f>
        <v>0</v>
      </c>
      <c r="AO80" s="21">
        <f>G80*(1-1)</f>
        <v>0</v>
      </c>
      <c r="AP80" s="22" t="s">
        <v>51</v>
      </c>
      <c r="AU80" s="21">
        <f t="shared" si="53"/>
        <v>0</v>
      </c>
      <c r="AV80" s="21">
        <f>ROUND(F80*AN80,2)</f>
        <v>0</v>
      </c>
      <c r="AW80" s="21">
        <f>ROUND(F80*AO80,2)</f>
        <v>0</v>
      </c>
      <c r="AX80" s="22" t="s">
        <v>244</v>
      </c>
      <c r="AY80" s="22" t="s">
        <v>244</v>
      </c>
      <c r="AZ80" s="9" t="s">
        <v>56</v>
      </c>
      <c r="BB80" s="21">
        <f t="shared" si="54"/>
        <v>0</v>
      </c>
      <c r="BC80" s="21">
        <f>G80/(100-BD80)*100</f>
        <v>0</v>
      </c>
      <c r="BD80" s="21">
        <v>0</v>
      </c>
      <c r="BE80" s="21">
        <f>80</f>
        <v>80</v>
      </c>
      <c r="BG80" s="21">
        <f>F80*AN80</f>
        <v>0</v>
      </c>
      <c r="BH80" s="21">
        <f>F80*AO80</f>
        <v>0</v>
      </c>
      <c r="BI80" s="21">
        <f>F80*G80</f>
        <v>0</v>
      </c>
      <c r="BJ80" s="22" t="s">
        <v>66</v>
      </c>
      <c r="BK80" s="21">
        <v>91</v>
      </c>
      <c r="BV80" s="21">
        <v>21</v>
      </c>
      <c r="BW80" s="4" t="s">
        <v>255</v>
      </c>
    </row>
    <row r="81" spans="1:75" ht="35.1" customHeight="1">
      <c r="A81" s="2" t="s">
        <v>200</v>
      </c>
      <c r="B81" s="3" t="s">
        <v>256</v>
      </c>
      <c r="C81" s="60" t="s">
        <v>257</v>
      </c>
      <c r="D81" s="60"/>
      <c r="E81" s="3" t="s">
        <v>61</v>
      </c>
      <c r="F81" s="21">
        <v>12.64</v>
      </c>
      <c r="G81" s="21">
        <v>0</v>
      </c>
      <c r="H81" s="21">
        <f>ROUND(F81*AN81,2)</f>
        <v>0</v>
      </c>
      <c r="I81" s="21">
        <f>ROUND(F81*AO81,2)</f>
        <v>0</v>
      </c>
      <c r="J81" s="21">
        <f t="shared" si="44"/>
        <v>0</v>
      </c>
      <c r="Y81" s="21">
        <f t="shared" si="45"/>
        <v>0</v>
      </c>
      <c r="AA81" s="21">
        <f t="shared" si="46"/>
        <v>0</v>
      </c>
      <c r="AB81" s="21">
        <f t="shared" si="47"/>
        <v>0</v>
      </c>
      <c r="AC81" s="21">
        <f t="shared" si="48"/>
        <v>0</v>
      </c>
      <c r="AD81" s="21">
        <f t="shared" si="49"/>
        <v>0</v>
      </c>
      <c r="AE81" s="21">
        <f t="shared" si="50"/>
        <v>0</v>
      </c>
      <c r="AF81" s="21">
        <f t="shared" si="51"/>
        <v>0</v>
      </c>
      <c r="AG81" s="21">
        <f t="shared" si="52"/>
        <v>0</v>
      </c>
      <c r="AH81" s="9" t="s">
        <v>48</v>
      </c>
      <c r="AI81" s="21">
        <f>IF(AM81=0,J81,0)</f>
        <v>0</v>
      </c>
      <c r="AJ81" s="21">
        <f>IF(AM81=15,J81,0)</f>
        <v>0</v>
      </c>
      <c r="AK81" s="21">
        <f>IF(AM81=21,J81,0)</f>
        <v>0</v>
      </c>
      <c r="AM81" s="21">
        <v>21</v>
      </c>
      <c r="AN81" s="21">
        <f>G81*0.770199942</f>
        <v>0</v>
      </c>
      <c r="AO81" s="21">
        <f>G81*(1-0.770199942)</f>
        <v>0</v>
      </c>
      <c r="AP81" s="22" t="s">
        <v>51</v>
      </c>
      <c r="AU81" s="21">
        <f t="shared" si="53"/>
        <v>0</v>
      </c>
      <c r="AV81" s="21">
        <f>ROUND(F81*AN81,2)</f>
        <v>0</v>
      </c>
      <c r="AW81" s="21">
        <f>ROUND(F81*AO81,2)</f>
        <v>0</v>
      </c>
      <c r="AX81" s="22" t="s">
        <v>244</v>
      </c>
      <c r="AY81" s="22" t="s">
        <v>244</v>
      </c>
      <c r="AZ81" s="9" t="s">
        <v>56</v>
      </c>
      <c r="BB81" s="21">
        <f t="shared" si="54"/>
        <v>0</v>
      </c>
      <c r="BC81" s="21">
        <f>G81/(100-BD81)*100</f>
        <v>0</v>
      </c>
      <c r="BD81" s="21">
        <v>0</v>
      </c>
      <c r="BE81" s="21">
        <f>81</f>
        <v>81</v>
      </c>
      <c r="BG81" s="21">
        <f>F81*AN81</f>
        <v>0</v>
      </c>
      <c r="BH81" s="21">
        <f>F81*AO81</f>
        <v>0</v>
      </c>
      <c r="BI81" s="21">
        <f>F81*G81</f>
        <v>0</v>
      </c>
      <c r="BJ81" s="22" t="s">
        <v>57</v>
      </c>
      <c r="BK81" s="21">
        <v>91</v>
      </c>
      <c r="BV81" s="21">
        <v>21</v>
      </c>
      <c r="BW81" s="4" t="s">
        <v>257</v>
      </c>
    </row>
    <row r="82" spans="1:75" ht="35.1" customHeight="1">
      <c r="A82" s="2" t="s">
        <v>258</v>
      </c>
      <c r="B82" s="3" t="s">
        <v>259</v>
      </c>
      <c r="C82" s="60" t="s">
        <v>260</v>
      </c>
      <c r="D82" s="60"/>
      <c r="E82" s="3" t="s">
        <v>54</v>
      </c>
      <c r="F82" s="21">
        <v>2</v>
      </c>
      <c r="G82" s="21">
        <v>0</v>
      </c>
      <c r="H82" s="21">
        <f>ROUND(F82*AN82,2)</f>
        <v>0</v>
      </c>
      <c r="I82" s="21">
        <f>ROUND(F82*AO82,2)</f>
        <v>0</v>
      </c>
      <c r="J82" s="21">
        <f t="shared" si="44"/>
        <v>0</v>
      </c>
      <c r="Y82" s="21">
        <f t="shared" si="45"/>
        <v>0</v>
      </c>
      <c r="AA82" s="21">
        <f t="shared" si="46"/>
        <v>0</v>
      </c>
      <c r="AB82" s="21">
        <f t="shared" si="47"/>
        <v>0</v>
      </c>
      <c r="AC82" s="21">
        <f t="shared" si="48"/>
        <v>0</v>
      </c>
      <c r="AD82" s="21">
        <f t="shared" si="49"/>
        <v>0</v>
      </c>
      <c r="AE82" s="21">
        <f t="shared" si="50"/>
        <v>0</v>
      </c>
      <c r="AF82" s="21">
        <f t="shared" si="51"/>
        <v>0</v>
      </c>
      <c r="AG82" s="21">
        <f t="shared" si="52"/>
        <v>0</v>
      </c>
      <c r="AH82" s="9" t="s">
        <v>48</v>
      </c>
      <c r="AI82" s="21">
        <f>IF(AM82=0,J82,0)</f>
        <v>0</v>
      </c>
      <c r="AJ82" s="21">
        <f>IF(AM82=15,J82,0)</f>
        <v>0</v>
      </c>
      <c r="AK82" s="21">
        <f>IF(AM82=21,J82,0)</f>
        <v>0</v>
      </c>
      <c r="AM82" s="21">
        <v>21</v>
      </c>
      <c r="AN82" s="21">
        <f>G82*0.548660072</f>
        <v>0</v>
      </c>
      <c r="AO82" s="21">
        <f>G82*(1-0.548660072)</f>
        <v>0</v>
      </c>
      <c r="AP82" s="22" t="s">
        <v>51</v>
      </c>
      <c r="AU82" s="21">
        <f t="shared" si="53"/>
        <v>0</v>
      </c>
      <c r="AV82" s="21">
        <f>ROUND(F82*AN82,2)</f>
        <v>0</v>
      </c>
      <c r="AW82" s="21">
        <f>ROUND(F82*AO82,2)</f>
        <v>0</v>
      </c>
      <c r="AX82" s="22" t="s">
        <v>244</v>
      </c>
      <c r="AY82" s="22" t="s">
        <v>244</v>
      </c>
      <c r="AZ82" s="9" t="s">
        <v>56</v>
      </c>
      <c r="BB82" s="21">
        <f t="shared" si="54"/>
        <v>0</v>
      </c>
      <c r="BC82" s="21">
        <f>G82/(100-BD82)*100</f>
        <v>0</v>
      </c>
      <c r="BD82" s="21">
        <v>0</v>
      </c>
      <c r="BE82" s="21">
        <f>82</f>
        <v>82</v>
      </c>
      <c r="BG82" s="21">
        <f>F82*AN82</f>
        <v>0</v>
      </c>
      <c r="BH82" s="21">
        <f>F82*AO82</f>
        <v>0</v>
      </c>
      <c r="BI82" s="21">
        <f>F82*G82</f>
        <v>0</v>
      </c>
      <c r="BJ82" s="22" t="s">
        <v>57</v>
      </c>
      <c r="BK82" s="21">
        <v>91</v>
      </c>
      <c r="BV82" s="21">
        <v>21</v>
      </c>
      <c r="BW82" s="4" t="s">
        <v>260</v>
      </c>
    </row>
    <row r="83" spans="1:75" ht="35.1" customHeight="1">
      <c r="A83" s="2" t="s">
        <v>212</v>
      </c>
      <c r="B83" s="3" t="s">
        <v>261</v>
      </c>
      <c r="C83" s="60" t="s">
        <v>262</v>
      </c>
      <c r="D83" s="60"/>
      <c r="E83" s="3" t="s">
        <v>54</v>
      </c>
      <c r="F83" s="21">
        <v>2</v>
      </c>
      <c r="G83" s="21">
        <v>0</v>
      </c>
      <c r="H83" s="21">
        <f>ROUND(F83*AN83,2)</f>
        <v>0</v>
      </c>
      <c r="I83" s="21">
        <f>ROUND(F83*AO83,2)</f>
        <v>0</v>
      </c>
      <c r="J83" s="21">
        <f t="shared" si="44"/>
        <v>0</v>
      </c>
      <c r="Y83" s="21">
        <f t="shared" si="45"/>
        <v>0</v>
      </c>
      <c r="AA83" s="21">
        <f t="shared" si="46"/>
        <v>0</v>
      </c>
      <c r="AB83" s="21">
        <f t="shared" si="47"/>
        <v>0</v>
      </c>
      <c r="AC83" s="21">
        <f t="shared" si="48"/>
        <v>0</v>
      </c>
      <c r="AD83" s="21">
        <f t="shared" si="49"/>
        <v>0</v>
      </c>
      <c r="AE83" s="21">
        <f t="shared" si="50"/>
        <v>0</v>
      </c>
      <c r="AF83" s="21">
        <f t="shared" si="51"/>
        <v>0</v>
      </c>
      <c r="AG83" s="21">
        <f t="shared" si="52"/>
        <v>0</v>
      </c>
      <c r="AH83" s="9" t="s">
        <v>48</v>
      </c>
      <c r="AI83" s="21">
        <f>IF(AM83=0,J83,0)</f>
        <v>0</v>
      </c>
      <c r="AJ83" s="21">
        <f>IF(AM83=15,J83,0)</f>
        <v>0</v>
      </c>
      <c r="AK83" s="21">
        <f>IF(AM83=21,J83,0)</f>
        <v>0</v>
      </c>
      <c r="AM83" s="21">
        <v>21</v>
      </c>
      <c r="AN83" s="21">
        <f>G83*1</f>
        <v>0</v>
      </c>
      <c r="AO83" s="21">
        <f>G83*(1-1)</f>
        <v>0</v>
      </c>
      <c r="AP83" s="22" t="s">
        <v>51</v>
      </c>
      <c r="AU83" s="21">
        <f t="shared" si="53"/>
        <v>0</v>
      </c>
      <c r="AV83" s="21">
        <f>ROUND(F83*AN83,2)</f>
        <v>0</v>
      </c>
      <c r="AW83" s="21">
        <f>ROUND(F83*AO83,2)</f>
        <v>0</v>
      </c>
      <c r="AX83" s="22" t="s">
        <v>244</v>
      </c>
      <c r="AY83" s="22" t="s">
        <v>244</v>
      </c>
      <c r="AZ83" s="9" t="s">
        <v>56</v>
      </c>
      <c r="BB83" s="21">
        <f t="shared" si="54"/>
        <v>0</v>
      </c>
      <c r="BC83" s="21">
        <f>G83/(100-BD83)*100</f>
        <v>0</v>
      </c>
      <c r="BD83" s="21">
        <v>0</v>
      </c>
      <c r="BE83" s="21">
        <f>83</f>
        <v>83</v>
      </c>
      <c r="BG83" s="21">
        <f>F83*AN83</f>
        <v>0</v>
      </c>
      <c r="BH83" s="21">
        <f>F83*AO83</f>
        <v>0</v>
      </c>
      <c r="BI83" s="21">
        <f>F83*G83</f>
        <v>0</v>
      </c>
      <c r="BJ83" s="22" t="s">
        <v>66</v>
      </c>
      <c r="BK83" s="21">
        <v>91</v>
      </c>
      <c r="BV83" s="21">
        <v>21</v>
      </c>
      <c r="BW83" s="4" t="s">
        <v>262</v>
      </c>
    </row>
    <row r="84" spans="1:75" ht="35.1" customHeight="1">
      <c r="A84" s="2" t="s">
        <v>263</v>
      </c>
      <c r="B84" s="3" t="s">
        <v>264</v>
      </c>
      <c r="C84" s="60" t="s">
        <v>265</v>
      </c>
      <c r="D84" s="60"/>
      <c r="E84" s="3" t="s">
        <v>54</v>
      </c>
      <c r="F84" s="21">
        <v>2</v>
      </c>
      <c r="G84" s="21">
        <v>0</v>
      </c>
      <c r="H84" s="21">
        <f>ROUND(F84*AN84,2)</f>
        <v>0</v>
      </c>
      <c r="I84" s="21">
        <f>ROUND(F84*AO84,2)</f>
        <v>0</v>
      </c>
      <c r="J84" s="21">
        <f t="shared" si="44"/>
        <v>0</v>
      </c>
      <c r="Y84" s="21">
        <f t="shared" si="45"/>
        <v>0</v>
      </c>
      <c r="AA84" s="21">
        <f t="shared" si="46"/>
        <v>0</v>
      </c>
      <c r="AB84" s="21">
        <f t="shared" si="47"/>
        <v>0</v>
      </c>
      <c r="AC84" s="21">
        <f t="shared" si="48"/>
        <v>0</v>
      </c>
      <c r="AD84" s="21">
        <f t="shared" si="49"/>
        <v>0</v>
      </c>
      <c r="AE84" s="21">
        <f t="shared" si="50"/>
        <v>0</v>
      </c>
      <c r="AF84" s="21">
        <f t="shared" si="51"/>
        <v>0</v>
      </c>
      <c r="AG84" s="21">
        <f t="shared" si="52"/>
        <v>0</v>
      </c>
      <c r="AH84" s="9" t="s">
        <v>48</v>
      </c>
      <c r="AI84" s="21">
        <f>IF(AM84=0,J84,0)</f>
        <v>0</v>
      </c>
      <c r="AJ84" s="21">
        <f>IF(AM84=15,J84,0)</f>
        <v>0</v>
      </c>
      <c r="AK84" s="21">
        <f>IF(AM84=21,J84,0)</f>
        <v>0</v>
      </c>
      <c r="AM84" s="21">
        <v>21</v>
      </c>
      <c r="AN84" s="21">
        <f>G84*1</f>
        <v>0</v>
      </c>
      <c r="AO84" s="21">
        <f>G84*(1-1)</f>
        <v>0</v>
      </c>
      <c r="AP84" s="22" t="s">
        <v>51</v>
      </c>
      <c r="AU84" s="21">
        <f t="shared" si="53"/>
        <v>0</v>
      </c>
      <c r="AV84" s="21">
        <f>ROUND(F84*AN84,2)</f>
        <v>0</v>
      </c>
      <c r="AW84" s="21">
        <f>ROUND(F84*AO84,2)</f>
        <v>0</v>
      </c>
      <c r="AX84" s="22" t="s">
        <v>244</v>
      </c>
      <c r="AY84" s="22" t="s">
        <v>244</v>
      </c>
      <c r="AZ84" s="9" t="s">
        <v>56</v>
      </c>
      <c r="BB84" s="21">
        <f t="shared" si="54"/>
        <v>0</v>
      </c>
      <c r="BC84" s="21">
        <f>G84/(100-BD84)*100</f>
        <v>0</v>
      </c>
      <c r="BD84" s="21">
        <v>0</v>
      </c>
      <c r="BE84" s="21">
        <f>84</f>
        <v>84</v>
      </c>
      <c r="BG84" s="21">
        <f>F84*AN84</f>
        <v>0</v>
      </c>
      <c r="BH84" s="21">
        <f>F84*AO84</f>
        <v>0</v>
      </c>
      <c r="BI84" s="21">
        <f>F84*G84</f>
        <v>0</v>
      </c>
      <c r="BJ84" s="22" t="s">
        <v>66</v>
      </c>
      <c r="BK84" s="21">
        <v>91</v>
      </c>
      <c r="BV84" s="21">
        <v>21</v>
      </c>
      <c r="BW84" s="4" t="s">
        <v>265</v>
      </c>
    </row>
    <row r="85" spans="1:75" ht="35.1" customHeight="1">
      <c r="A85" s="2" t="s">
        <v>266</v>
      </c>
      <c r="B85" s="3" t="s">
        <v>267</v>
      </c>
      <c r="C85" s="60" t="s">
        <v>268</v>
      </c>
      <c r="D85" s="60"/>
      <c r="E85" s="3" t="s">
        <v>54</v>
      </c>
      <c r="F85" s="21">
        <v>3</v>
      </c>
      <c r="G85" s="21">
        <v>0</v>
      </c>
      <c r="H85" s="21">
        <f>ROUND(F85*AN85,2)</f>
        <v>0</v>
      </c>
      <c r="I85" s="21">
        <f>ROUND(F85*AO85,2)</f>
        <v>0</v>
      </c>
      <c r="J85" s="21">
        <f t="shared" si="44"/>
        <v>0</v>
      </c>
      <c r="Y85" s="21">
        <f t="shared" si="45"/>
        <v>0</v>
      </c>
      <c r="AA85" s="21">
        <f t="shared" si="46"/>
        <v>0</v>
      </c>
      <c r="AB85" s="21">
        <f t="shared" si="47"/>
        <v>0</v>
      </c>
      <c r="AC85" s="21">
        <f t="shared" si="48"/>
        <v>0</v>
      </c>
      <c r="AD85" s="21">
        <f t="shared" si="49"/>
        <v>0</v>
      </c>
      <c r="AE85" s="21">
        <f t="shared" si="50"/>
        <v>0</v>
      </c>
      <c r="AF85" s="21">
        <f t="shared" si="51"/>
        <v>0</v>
      </c>
      <c r="AG85" s="21">
        <f t="shared" si="52"/>
        <v>0</v>
      </c>
      <c r="AH85" s="9" t="s">
        <v>48</v>
      </c>
      <c r="AI85" s="21">
        <f>IF(AM85=0,J85,0)</f>
        <v>0</v>
      </c>
      <c r="AJ85" s="21">
        <f>IF(AM85=15,J85,0)</f>
        <v>0</v>
      </c>
      <c r="AK85" s="21">
        <f>IF(AM85=21,J85,0)</f>
        <v>0</v>
      </c>
      <c r="AM85" s="21">
        <v>21</v>
      </c>
      <c r="AN85" s="21">
        <f>G85*0.657216279</f>
        <v>0</v>
      </c>
      <c r="AO85" s="21">
        <f>G85*(1-0.657216279)</f>
        <v>0</v>
      </c>
      <c r="AP85" s="22" t="s">
        <v>51</v>
      </c>
      <c r="AU85" s="21">
        <f t="shared" si="53"/>
        <v>0</v>
      </c>
      <c r="AV85" s="21">
        <f>ROUND(F85*AN85,2)</f>
        <v>0</v>
      </c>
      <c r="AW85" s="21">
        <f>ROUND(F85*AO85,2)</f>
        <v>0</v>
      </c>
      <c r="AX85" s="22" t="s">
        <v>244</v>
      </c>
      <c r="AY85" s="22" t="s">
        <v>244</v>
      </c>
      <c r="AZ85" s="9" t="s">
        <v>56</v>
      </c>
      <c r="BB85" s="21">
        <f t="shared" si="54"/>
        <v>0</v>
      </c>
      <c r="BC85" s="21">
        <f>G85/(100-BD85)*100</f>
        <v>0</v>
      </c>
      <c r="BD85" s="21">
        <v>0</v>
      </c>
      <c r="BE85" s="21">
        <f>85</f>
        <v>85</v>
      </c>
      <c r="BG85" s="21">
        <f>F85*AN85</f>
        <v>0</v>
      </c>
      <c r="BH85" s="21">
        <f>F85*AO85</f>
        <v>0</v>
      </c>
      <c r="BI85" s="21">
        <f>F85*G85</f>
        <v>0</v>
      </c>
      <c r="BJ85" s="22" t="s">
        <v>57</v>
      </c>
      <c r="BK85" s="21">
        <v>91</v>
      </c>
      <c r="BV85" s="21">
        <v>21</v>
      </c>
      <c r="BW85" s="4" t="s">
        <v>268</v>
      </c>
    </row>
    <row r="86" spans="1:75" ht="35.1" customHeight="1">
      <c r="A86" s="2" t="s">
        <v>269</v>
      </c>
      <c r="B86" s="3" t="s">
        <v>270</v>
      </c>
      <c r="C86" s="60" t="s">
        <v>271</v>
      </c>
      <c r="D86" s="60"/>
      <c r="E86" s="3" t="s">
        <v>54</v>
      </c>
      <c r="F86" s="21">
        <v>2</v>
      </c>
      <c r="G86" s="21">
        <v>0</v>
      </c>
      <c r="H86" s="21">
        <f>ROUND(F86*AN86,2)</f>
        <v>0</v>
      </c>
      <c r="I86" s="21">
        <f>ROUND(F86*AO86,2)</f>
        <v>0</v>
      </c>
      <c r="J86" s="21">
        <f t="shared" si="44"/>
        <v>0</v>
      </c>
      <c r="Y86" s="21">
        <f t="shared" si="45"/>
        <v>0</v>
      </c>
      <c r="AA86" s="21">
        <f t="shared" si="46"/>
        <v>0</v>
      </c>
      <c r="AB86" s="21">
        <f t="shared" si="47"/>
        <v>0</v>
      </c>
      <c r="AC86" s="21">
        <f t="shared" si="48"/>
        <v>0</v>
      </c>
      <c r="AD86" s="21">
        <f t="shared" si="49"/>
        <v>0</v>
      </c>
      <c r="AE86" s="21">
        <f t="shared" si="50"/>
        <v>0</v>
      </c>
      <c r="AF86" s="21">
        <f t="shared" si="51"/>
        <v>0</v>
      </c>
      <c r="AG86" s="21">
        <f t="shared" si="52"/>
        <v>0</v>
      </c>
      <c r="AH86" s="9" t="s">
        <v>48</v>
      </c>
      <c r="AI86" s="21">
        <f>IF(AM86=0,J86,0)</f>
        <v>0</v>
      </c>
      <c r="AJ86" s="21">
        <f>IF(AM86=15,J86,0)</f>
        <v>0</v>
      </c>
      <c r="AK86" s="21">
        <f>IF(AM86=21,J86,0)</f>
        <v>0</v>
      </c>
      <c r="AM86" s="21">
        <v>21</v>
      </c>
      <c r="AN86" s="21">
        <f>G86*1</f>
        <v>0</v>
      </c>
      <c r="AO86" s="21">
        <f>G86*(1-1)</f>
        <v>0</v>
      </c>
      <c r="AP86" s="22" t="s">
        <v>51</v>
      </c>
      <c r="AU86" s="21">
        <f t="shared" si="53"/>
        <v>0</v>
      </c>
      <c r="AV86" s="21">
        <f>ROUND(F86*AN86,2)</f>
        <v>0</v>
      </c>
      <c r="AW86" s="21">
        <f>ROUND(F86*AO86,2)</f>
        <v>0</v>
      </c>
      <c r="AX86" s="22" t="s">
        <v>244</v>
      </c>
      <c r="AY86" s="22" t="s">
        <v>244</v>
      </c>
      <c r="AZ86" s="9" t="s">
        <v>56</v>
      </c>
      <c r="BB86" s="21">
        <f t="shared" si="54"/>
        <v>0</v>
      </c>
      <c r="BC86" s="21">
        <f>G86/(100-BD86)*100</f>
        <v>0</v>
      </c>
      <c r="BD86" s="21">
        <v>0</v>
      </c>
      <c r="BE86" s="21">
        <f>86</f>
        <v>86</v>
      </c>
      <c r="BG86" s="21">
        <f>F86*AN86</f>
        <v>0</v>
      </c>
      <c r="BH86" s="21">
        <f>F86*AO86</f>
        <v>0</v>
      </c>
      <c r="BI86" s="21">
        <f>F86*G86</f>
        <v>0</v>
      </c>
      <c r="BJ86" s="22" t="s">
        <v>66</v>
      </c>
      <c r="BK86" s="21">
        <v>91</v>
      </c>
      <c r="BV86" s="21">
        <v>21</v>
      </c>
      <c r="BW86" s="4" t="s">
        <v>271</v>
      </c>
    </row>
    <row r="87" spans="1:75" ht="35.1" customHeight="1">
      <c r="A87" s="2" t="s">
        <v>272</v>
      </c>
      <c r="B87" s="3" t="s">
        <v>273</v>
      </c>
      <c r="C87" s="60" t="s">
        <v>274</v>
      </c>
      <c r="D87" s="60"/>
      <c r="E87" s="3" t="s">
        <v>54</v>
      </c>
      <c r="F87" s="21">
        <v>1</v>
      </c>
      <c r="G87" s="21">
        <v>0</v>
      </c>
      <c r="H87" s="21">
        <f>ROUND(F87*AN87,2)</f>
        <v>0</v>
      </c>
      <c r="I87" s="21">
        <f>ROUND(F87*AO87,2)</f>
        <v>0</v>
      </c>
      <c r="J87" s="21">
        <f t="shared" si="44"/>
        <v>0</v>
      </c>
      <c r="Y87" s="21">
        <f t="shared" si="45"/>
        <v>0</v>
      </c>
      <c r="AA87" s="21">
        <f t="shared" si="46"/>
        <v>0</v>
      </c>
      <c r="AB87" s="21">
        <f t="shared" si="47"/>
        <v>0</v>
      </c>
      <c r="AC87" s="21">
        <f t="shared" si="48"/>
        <v>0</v>
      </c>
      <c r="AD87" s="21">
        <f t="shared" si="49"/>
        <v>0</v>
      </c>
      <c r="AE87" s="21">
        <f t="shared" si="50"/>
        <v>0</v>
      </c>
      <c r="AF87" s="21">
        <f t="shared" si="51"/>
        <v>0</v>
      </c>
      <c r="AG87" s="21">
        <f t="shared" si="52"/>
        <v>0</v>
      </c>
      <c r="AH87" s="9" t="s">
        <v>48</v>
      </c>
      <c r="AI87" s="21">
        <f>IF(AM87=0,J87,0)</f>
        <v>0</v>
      </c>
      <c r="AJ87" s="21">
        <f>IF(AM87=15,J87,0)</f>
        <v>0</v>
      </c>
      <c r="AK87" s="21">
        <f>IF(AM87=21,J87,0)</f>
        <v>0</v>
      </c>
      <c r="AM87" s="21">
        <v>21</v>
      </c>
      <c r="AN87" s="21">
        <f>G87*1</f>
        <v>0</v>
      </c>
      <c r="AO87" s="21">
        <f>G87*(1-1)</f>
        <v>0</v>
      </c>
      <c r="AP87" s="22" t="s">
        <v>51</v>
      </c>
      <c r="AU87" s="21">
        <f t="shared" si="53"/>
        <v>0</v>
      </c>
      <c r="AV87" s="21">
        <f>ROUND(F87*AN87,2)</f>
        <v>0</v>
      </c>
      <c r="AW87" s="21">
        <f>ROUND(F87*AO87,2)</f>
        <v>0</v>
      </c>
      <c r="AX87" s="22" t="s">
        <v>244</v>
      </c>
      <c r="AY87" s="22" t="s">
        <v>244</v>
      </c>
      <c r="AZ87" s="9" t="s">
        <v>56</v>
      </c>
      <c r="BB87" s="21">
        <f t="shared" si="54"/>
        <v>0</v>
      </c>
      <c r="BC87" s="21">
        <f>G87/(100-BD87)*100</f>
        <v>0</v>
      </c>
      <c r="BD87" s="21">
        <v>0</v>
      </c>
      <c r="BE87" s="21">
        <f>87</f>
        <v>87</v>
      </c>
      <c r="BG87" s="21">
        <f>F87*AN87</f>
        <v>0</v>
      </c>
      <c r="BH87" s="21">
        <f>F87*AO87</f>
        <v>0</v>
      </c>
      <c r="BI87" s="21">
        <f>F87*G87</f>
        <v>0</v>
      </c>
      <c r="BJ87" s="22" t="s">
        <v>66</v>
      </c>
      <c r="BK87" s="21">
        <v>91</v>
      </c>
      <c r="BV87" s="21">
        <v>21</v>
      </c>
      <c r="BW87" s="4" t="s">
        <v>274</v>
      </c>
    </row>
    <row r="88" spans="1:75" ht="35.1" customHeight="1">
      <c r="A88" s="26" t="s">
        <v>275</v>
      </c>
      <c r="B88" s="27" t="s">
        <v>276</v>
      </c>
      <c r="C88" s="127" t="s">
        <v>277</v>
      </c>
      <c r="D88" s="127"/>
      <c r="E88" s="27" t="s">
        <v>65</v>
      </c>
      <c r="F88" s="28">
        <v>3079.87</v>
      </c>
      <c r="G88" s="28">
        <v>0</v>
      </c>
      <c r="H88" s="28">
        <f>ROUND(F88*AN88,2)</f>
        <v>0</v>
      </c>
      <c r="I88" s="28">
        <f>ROUND(F88*AO88,2)</f>
        <v>0</v>
      </c>
      <c r="J88" s="28">
        <f t="shared" si="44"/>
        <v>0</v>
      </c>
      <c r="Y88" s="21">
        <f t="shared" si="45"/>
        <v>0</v>
      </c>
      <c r="AA88" s="21">
        <f t="shared" si="46"/>
        <v>0</v>
      </c>
      <c r="AB88" s="21">
        <f t="shared" si="47"/>
        <v>0</v>
      </c>
      <c r="AC88" s="21">
        <f t="shared" si="48"/>
        <v>0</v>
      </c>
      <c r="AD88" s="21">
        <f t="shared" si="49"/>
        <v>0</v>
      </c>
      <c r="AE88" s="21">
        <f t="shared" si="50"/>
        <v>0</v>
      </c>
      <c r="AF88" s="21">
        <f t="shared" si="51"/>
        <v>0</v>
      </c>
      <c r="AG88" s="21">
        <f t="shared" si="52"/>
        <v>0</v>
      </c>
      <c r="AH88" s="9" t="s">
        <v>48</v>
      </c>
      <c r="AI88" s="21">
        <f>IF(AM88=0,J88,0)</f>
        <v>0</v>
      </c>
      <c r="AJ88" s="21">
        <f>IF(AM88=15,J88,0)</f>
        <v>0</v>
      </c>
      <c r="AK88" s="21">
        <f>IF(AM88=21,J88,0)</f>
        <v>0</v>
      </c>
      <c r="AM88" s="21">
        <v>21</v>
      </c>
      <c r="AN88" s="21">
        <f>G88*0</f>
        <v>0</v>
      </c>
      <c r="AO88" s="21">
        <f>G88*(1-0)</f>
        <v>0</v>
      </c>
      <c r="AP88" s="22" t="s">
        <v>70</v>
      </c>
      <c r="AU88" s="21">
        <f t="shared" si="53"/>
        <v>0</v>
      </c>
      <c r="AV88" s="21">
        <f>ROUND(F88*AN88,2)</f>
        <v>0</v>
      </c>
      <c r="AW88" s="21">
        <f>ROUND(F88*AO88,2)</f>
        <v>0</v>
      </c>
      <c r="AX88" s="22" t="s">
        <v>244</v>
      </c>
      <c r="AY88" s="22" t="s">
        <v>244</v>
      </c>
      <c r="AZ88" s="9" t="s">
        <v>56</v>
      </c>
      <c r="BB88" s="21">
        <f t="shared" si="54"/>
        <v>0</v>
      </c>
      <c r="BC88" s="21">
        <f>G88/(100-BD88)*100</f>
        <v>0</v>
      </c>
      <c r="BD88" s="21">
        <v>0</v>
      </c>
      <c r="BE88" s="21">
        <f>88</f>
        <v>88</v>
      </c>
      <c r="BG88" s="21">
        <f>F88*AN88</f>
        <v>0</v>
      </c>
      <c r="BH88" s="21">
        <f>F88*AO88</f>
        <v>0</v>
      </c>
      <c r="BI88" s="21">
        <f>F88*G88</f>
        <v>0</v>
      </c>
      <c r="BJ88" s="22" t="s">
        <v>57</v>
      </c>
      <c r="BK88" s="21">
        <v>91</v>
      </c>
      <c r="BV88" s="21">
        <v>21</v>
      </c>
      <c r="BW88" s="4" t="s">
        <v>277</v>
      </c>
    </row>
    <row r="89" spans="1:75" ht="35.1" customHeight="1">
      <c r="H89" s="62" t="s">
        <v>278</v>
      </c>
      <c r="I89" s="62"/>
      <c r="J89" s="29">
        <f>ROUND(SUM(J12,J19,J28,J31,J39,J42,J51,J53,J56,J62,J66,J71,J75),2)</f>
        <v>0</v>
      </c>
    </row>
    <row r="90" spans="1:75" ht="35.1" customHeight="1">
      <c r="A90" s="30" t="s">
        <v>279</v>
      </c>
    </row>
    <row r="91" spans="1:75" ht="12.75" customHeight="1">
      <c r="A91" s="60" t="s">
        <v>48</v>
      </c>
      <c r="B91" s="60"/>
      <c r="C91" s="60"/>
      <c r="D91" s="60"/>
      <c r="E91" s="60"/>
      <c r="F91" s="60"/>
      <c r="G91" s="60"/>
      <c r="H91" s="60"/>
      <c r="I91" s="60"/>
      <c r="J91" s="60"/>
    </row>
  </sheetData>
  <mergeCells count="107">
    <mergeCell ref="A91:J91"/>
    <mergeCell ref="C85:D85"/>
    <mergeCell ref="C86:D86"/>
    <mergeCell ref="C87:D87"/>
    <mergeCell ref="C88:D88"/>
    <mergeCell ref="H89:I89"/>
    <mergeCell ref="C80:D80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1:D11"/>
    <mergeCell ref="H10:J10"/>
    <mergeCell ref="C12:D12"/>
    <mergeCell ref="C13:D13"/>
    <mergeCell ref="C14:D14"/>
    <mergeCell ref="I2:J3"/>
    <mergeCell ref="I4:J5"/>
    <mergeCell ref="I6:J7"/>
    <mergeCell ref="I8:J9"/>
    <mergeCell ref="C10:D10"/>
    <mergeCell ref="C8:D9"/>
    <mergeCell ref="G2:G3"/>
    <mergeCell ref="G4:G5"/>
    <mergeCell ref="G6:G7"/>
    <mergeCell ref="G8:G9"/>
    <mergeCell ref="A1:J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workbookViewId="0">
      <selection activeCell="A37" sqref="A37:I37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>
      <c r="A1" s="70" t="s">
        <v>280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1</v>
      </c>
      <c r="B2" s="55"/>
      <c r="C2" s="61" t="str">
        <f>'Stavební rozpočet'!C2</f>
        <v>Ořechov - inženýrské sítě pro výstavbu RD</v>
      </c>
      <c r="D2" s="62"/>
      <c r="E2" s="59" t="s">
        <v>5</v>
      </c>
      <c r="F2" s="59" t="str">
        <f>'Stavební rozpočet'!I2</f>
        <v> </v>
      </c>
      <c r="G2" s="55"/>
      <c r="H2" s="59" t="s">
        <v>281</v>
      </c>
      <c r="I2" s="64" t="s">
        <v>48</v>
      </c>
    </row>
    <row r="3" spans="1:9" ht="15" customHeight="1">
      <c r="A3" s="56"/>
      <c r="B3" s="57"/>
      <c r="C3" s="63"/>
      <c r="D3" s="63"/>
      <c r="E3" s="57"/>
      <c r="F3" s="57"/>
      <c r="G3" s="57"/>
      <c r="H3" s="57"/>
      <c r="I3" s="65"/>
    </row>
    <row r="4" spans="1:9">
      <c r="A4" s="58" t="s">
        <v>7</v>
      </c>
      <c r="B4" s="57"/>
      <c r="C4" s="60" t="str">
        <f>'Stavební rozpočet'!C4</f>
        <v>SO 01 Komunikace</v>
      </c>
      <c r="D4" s="57"/>
      <c r="E4" s="60" t="s">
        <v>11</v>
      </c>
      <c r="F4" s="60" t="str">
        <f>'Stavební rozpočet'!I4</f>
        <v> </v>
      </c>
      <c r="G4" s="57"/>
      <c r="H4" s="60" t="s">
        <v>281</v>
      </c>
      <c r="I4" s="65" t="s">
        <v>48</v>
      </c>
    </row>
    <row r="5" spans="1:9" ht="15" customHeight="1">
      <c r="A5" s="56"/>
      <c r="B5" s="57"/>
      <c r="C5" s="57"/>
      <c r="D5" s="57"/>
      <c r="E5" s="57"/>
      <c r="F5" s="57"/>
      <c r="G5" s="57"/>
      <c r="H5" s="57"/>
      <c r="I5" s="65"/>
    </row>
    <row r="6" spans="1:9">
      <c r="A6" s="58" t="s">
        <v>12</v>
      </c>
      <c r="B6" s="57"/>
      <c r="C6" s="60" t="str">
        <f>'Stavební rozpočet'!C6</f>
        <v>Ořechov</v>
      </c>
      <c r="D6" s="57"/>
      <c r="E6" s="60" t="s">
        <v>15</v>
      </c>
      <c r="F6" s="60" t="str">
        <f>'Stavební rozpočet'!I6</f>
        <v> </v>
      </c>
      <c r="G6" s="57"/>
      <c r="H6" s="60" t="s">
        <v>281</v>
      </c>
      <c r="I6" s="65" t="s">
        <v>48</v>
      </c>
    </row>
    <row r="7" spans="1:9" ht="15" customHeight="1">
      <c r="A7" s="56"/>
      <c r="B7" s="57"/>
      <c r="C7" s="57"/>
      <c r="D7" s="57"/>
      <c r="E7" s="57"/>
      <c r="F7" s="57"/>
      <c r="G7" s="57"/>
      <c r="H7" s="57"/>
      <c r="I7" s="65"/>
    </row>
    <row r="8" spans="1:9">
      <c r="A8" s="58" t="s">
        <v>9</v>
      </c>
      <c r="B8" s="57"/>
      <c r="C8" s="60" t="str">
        <f>'Stavební rozpočet'!G4</f>
        <v xml:space="preserve"> </v>
      </c>
      <c r="D8" s="57"/>
      <c r="E8" s="60" t="s">
        <v>14</v>
      </c>
      <c r="F8" s="60" t="str">
        <f>'Stavební rozpočet'!G6</f>
        <v xml:space="preserve"> </v>
      </c>
      <c r="G8" s="57"/>
      <c r="H8" s="57" t="s">
        <v>282</v>
      </c>
      <c r="I8" s="72">
        <v>64</v>
      </c>
    </row>
    <row r="9" spans="1:9">
      <c r="A9" s="56"/>
      <c r="B9" s="57"/>
      <c r="C9" s="57"/>
      <c r="D9" s="57"/>
      <c r="E9" s="57"/>
      <c r="F9" s="57"/>
      <c r="G9" s="57"/>
      <c r="H9" s="57"/>
      <c r="I9" s="65"/>
    </row>
    <row r="10" spans="1:9">
      <c r="A10" s="58" t="s">
        <v>16</v>
      </c>
      <c r="B10" s="57"/>
      <c r="C10" s="60" t="str">
        <f>'Stavební rozpočet'!C8</f>
        <v>8222771</v>
      </c>
      <c r="D10" s="57"/>
      <c r="E10" s="60" t="s">
        <v>19</v>
      </c>
      <c r="F10" s="60" t="str">
        <f>'Stavební rozpočet'!I8</f>
        <v>Ing. Čapek</v>
      </c>
      <c r="G10" s="57"/>
      <c r="H10" s="57" t="s">
        <v>283</v>
      </c>
      <c r="I10" s="73" t="str">
        <f>'Stavební rozpočet'!G8</f>
        <v>17.07.2025</v>
      </c>
    </row>
    <row r="11" spans="1:9">
      <c r="A11" s="71"/>
      <c r="B11" s="69"/>
      <c r="C11" s="69"/>
      <c r="D11" s="69"/>
      <c r="E11" s="69"/>
      <c r="F11" s="69"/>
      <c r="G11" s="69"/>
      <c r="H11" s="69"/>
      <c r="I11" s="74"/>
    </row>
    <row r="12" spans="1:9" ht="23.25">
      <c r="A12" s="75" t="s">
        <v>284</v>
      </c>
      <c r="B12" s="75"/>
      <c r="C12" s="75"/>
      <c r="D12" s="75"/>
      <c r="E12" s="75"/>
      <c r="F12" s="75"/>
      <c r="G12" s="75"/>
      <c r="H12" s="75"/>
      <c r="I12" s="75"/>
    </row>
    <row r="13" spans="1:9" ht="26.25" customHeight="1">
      <c r="A13" s="31" t="s">
        <v>285</v>
      </c>
      <c r="B13" s="76" t="s">
        <v>286</v>
      </c>
      <c r="C13" s="77"/>
      <c r="D13" s="32" t="s">
        <v>287</v>
      </c>
      <c r="E13" s="76" t="s">
        <v>288</v>
      </c>
      <c r="F13" s="77"/>
      <c r="G13" s="32" t="s">
        <v>289</v>
      </c>
      <c r="H13" s="76" t="s">
        <v>290</v>
      </c>
      <c r="I13" s="77"/>
    </row>
    <row r="14" spans="1:9" ht="15.75">
      <c r="A14" s="33" t="s">
        <v>291</v>
      </c>
      <c r="B14" s="34" t="s">
        <v>292</v>
      </c>
      <c r="C14" s="35">
        <f>SUM('Stavební rozpočet'!AA12:AA176)</f>
        <v>0</v>
      </c>
      <c r="D14" s="84" t="s">
        <v>293</v>
      </c>
      <c r="E14" s="85"/>
      <c r="F14" s="35">
        <f>VORN!I15</f>
        <v>0</v>
      </c>
      <c r="G14" s="84" t="s">
        <v>294</v>
      </c>
      <c r="H14" s="85"/>
      <c r="I14" s="36">
        <f>VORN!I21</f>
        <v>0</v>
      </c>
    </row>
    <row r="15" spans="1:9" ht="15.75">
      <c r="A15" s="37" t="s">
        <v>48</v>
      </c>
      <c r="B15" s="34" t="s">
        <v>34</v>
      </c>
      <c r="C15" s="35">
        <f>SUM('Stavební rozpočet'!AB12:AB176)</f>
        <v>0</v>
      </c>
      <c r="D15" s="84" t="s">
        <v>295</v>
      </c>
      <c r="E15" s="85"/>
      <c r="F15" s="35">
        <f>VORN!I16</f>
        <v>0</v>
      </c>
      <c r="G15" s="84" t="s">
        <v>296</v>
      </c>
      <c r="H15" s="85"/>
      <c r="I15" s="36">
        <f>VORN!I22</f>
        <v>0</v>
      </c>
    </row>
    <row r="16" spans="1:9" ht="15.75">
      <c r="A16" s="33" t="s">
        <v>297</v>
      </c>
      <c r="B16" s="34" t="s">
        <v>292</v>
      </c>
      <c r="C16" s="35">
        <f>SUM('Stavební rozpočet'!AC12:AC176)</f>
        <v>0</v>
      </c>
      <c r="D16" s="84" t="s">
        <v>298</v>
      </c>
      <c r="E16" s="85"/>
      <c r="F16" s="35">
        <f>VORN!I17</f>
        <v>0</v>
      </c>
      <c r="G16" s="84" t="s">
        <v>299</v>
      </c>
      <c r="H16" s="85"/>
      <c r="I16" s="36">
        <f>VORN!I23</f>
        <v>0</v>
      </c>
    </row>
    <row r="17" spans="1:9" ht="15.75">
      <c r="A17" s="37" t="s">
        <v>48</v>
      </c>
      <c r="B17" s="34" t="s">
        <v>34</v>
      </c>
      <c r="C17" s="35">
        <f>SUM('Stavební rozpočet'!AD12:AD176)</f>
        <v>0</v>
      </c>
      <c r="D17" s="84" t="s">
        <v>48</v>
      </c>
      <c r="E17" s="85"/>
      <c r="F17" s="36" t="s">
        <v>48</v>
      </c>
      <c r="G17" s="84" t="s">
        <v>300</v>
      </c>
      <c r="H17" s="85"/>
      <c r="I17" s="36">
        <f>VORN!I24</f>
        <v>0</v>
      </c>
    </row>
    <row r="18" spans="1:9" ht="15.75">
      <c r="A18" s="33" t="s">
        <v>301</v>
      </c>
      <c r="B18" s="34" t="s">
        <v>292</v>
      </c>
      <c r="C18" s="35">
        <f>SUM('Stavební rozpočet'!AE12:AE176)</f>
        <v>0</v>
      </c>
      <c r="D18" s="84" t="s">
        <v>48</v>
      </c>
      <c r="E18" s="85"/>
      <c r="F18" s="36" t="s">
        <v>48</v>
      </c>
      <c r="G18" s="84" t="s">
        <v>302</v>
      </c>
      <c r="H18" s="85"/>
      <c r="I18" s="36">
        <f>VORN!I25</f>
        <v>0</v>
      </c>
    </row>
    <row r="19" spans="1:9" ht="15.75">
      <c r="A19" s="37" t="s">
        <v>48</v>
      </c>
      <c r="B19" s="34" t="s">
        <v>34</v>
      </c>
      <c r="C19" s="35">
        <f>SUM('Stavební rozpočet'!AF12:AF176)</f>
        <v>0</v>
      </c>
      <c r="D19" s="84" t="s">
        <v>48</v>
      </c>
      <c r="E19" s="85"/>
      <c r="F19" s="36" t="s">
        <v>48</v>
      </c>
      <c r="G19" s="84" t="s">
        <v>303</v>
      </c>
      <c r="H19" s="85"/>
      <c r="I19" s="36">
        <f>VORN!I26</f>
        <v>0</v>
      </c>
    </row>
    <row r="20" spans="1:9" ht="15.75">
      <c r="A20" s="78" t="s">
        <v>304</v>
      </c>
      <c r="B20" s="79"/>
      <c r="C20" s="35">
        <f>SUM('Stavební rozpočet'!AG12:AG176)</f>
        <v>0</v>
      </c>
      <c r="D20" s="84" t="s">
        <v>48</v>
      </c>
      <c r="E20" s="85"/>
      <c r="F20" s="36" t="s">
        <v>48</v>
      </c>
      <c r="G20" s="84" t="s">
        <v>48</v>
      </c>
      <c r="H20" s="85"/>
      <c r="I20" s="36" t="s">
        <v>48</v>
      </c>
    </row>
    <row r="21" spans="1:9" ht="15.75">
      <c r="A21" s="80" t="s">
        <v>305</v>
      </c>
      <c r="B21" s="81"/>
      <c r="C21" s="38">
        <f>SUM('Stavební rozpočet'!Y12:Y176)</f>
        <v>0</v>
      </c>
      <c r="D21" s="86" t="s">
        <v>48</v>
      </c>
      <c r="E21" s="87"/>
      <c r="F21" s="39" t="s">
        <v>48</v>
      </c>
      <c r="G21" s="86" t="s">
        <v>48</v>
      </c>
      <c r="H21" s="87"/>
      <c r="I21" s="39" t="s">
        <v>48</v>
      </c>
    </row>
    <row r="22" spans="1:9" ht="16.5" customHeight="1">
      <c r="A22" s="82" t="s">
        <v>306</v>
      </c>
      <c r="B22" s="83"/>
      <c r="C22" s="40">
        <f>ROUND(SUM(C14:C21),2)</f>
        <v>0</v>
      </c>
      <c r="D22" s="88" t="s">
        <v>307</v>
      </c>
      <c r="E22" s="83"/>
      <c r="F22" s="40">
        <f>SUM(F14:F21)</f>
        <v>0</v>
      </c>
      <c r="G22" s="88" t="s">
        <v>308</v>
      </c>
      <c r="H22" s="83"/>
      <c r="I22" s="40">
        <f>SUM(I14:I21)</f>
        <v>0</v>
      </c>
    </row>
    <row r="23" spans="1:9" ht="15.75">
      <c r="D23" s="78" t="s">
        <v>309</v>
      </c>
      <c r="E23" s="79"/>
      <c r="F23" s="41">
        <v>0</v>
      </c>
      <c r="G23" s="89" t="s">
        <v>310</v>
      </c>
      <c r="H23" s="79"/>
      <c r="I23" s="35">
        <v>0</v>
      </c>
    </row>
    <row r="24" spans="1:9" ht="15.75">
      <c r="G24" s="78" t="s">
        <v>311</v>
      </c>
      <c r="H24" s="79"/>
      <c r="I24" s="38">
        <f>vorn_sum</f>
        <v>0</v>
      </c>
    </row>
    <row r="25" spans="1:9" ht="15.75">
      <c r="G25" s="78" t="s">
        <v>312</v>
      </c>
      <c r="H25" s="79"/>
      <c r="I25" s="40">
        <v>0</v>
      </c>
    </row>
    <row r="27" spans="1:9" ht="15.75">
      <c r="A27" s="90" t="s">
        <v>313</v>
      </c>
      <c r="B27" s="91"/>
      <c r="C27" s="42">
        <f>ROUND(SUM('Stavební rozpočet'!AI12:AI176),2)</f>
        <v>0</v>
      </c>
    </row>
    <row r="28" spans="1:9" ht="15.75">
      <c r="A28" s="92" t="s">
        <v>314</v>
      </c>
      <c r="B28" s="93"/>
      <c r="C28" s="43">
        <f>ROUND(SUM('Stavební rozpočet'!AJ12:AJ176),2)</f>
        <v>0</v>
      </c>
      <c r="D28" s="94" t="s">
        <v>315</v>
      </c>
      <c r="E28" s="91"/>
      <c r="F28" s="42">
        <f>ROUND(C28*(15/100),2)</f>
        <v>0</v>
      </c>
      <c r="G28" s="94" t="s">
        <v>316</v>
      </c>
      <c r="H28" s="91"/>
      <c r="I28" s="42">
        <f>ROUND(SUM(C27:C29),2)</f>
        <v>0</v>
      </c>
    </row>
    <row r="29" spans="1:9" ht="15.75">
      <c r="A29" s="92" t="s">
        <v>317</v>
      </c>
      <c r="B29" s="93"/>
      <c r="C29" s="43">
        <f>ROUND(SUM('Stavební rozpočet'!AK12:AK176)+(F22+I22+F23+I23+I24+I25),2)</f>
        <v>0</v>
      </c>
      <c r="D29" s="95" t="s">
        <v>318</v>
      </c>
      <c r="E29" s="93"/>
      <c r="F29" s="43">
        <f>ROUND(C29*(21/100),2)</f>
        <v>0</v>
      </c>
      <c r="G29" s="95" t="s">
        <v>319</v>
      </c>
      <c r="H29" s="93"/>
      <c r="I29" s="43">
        <f>ROUND(SUM(F28:F29)+I28,2)</f>
        <v>0</v>
      </c>
    </row>
    <row r="31" spans="1:9">
      <c r="A31" s="96" t="s">
        <v>320</v>
      </c>
      <c r="B31" s="97"/>
      <c r="C31" s="98"/>
      <c r="D31" s="105" t="s">
        <v>321</v>
      </c>
      <c r="E31" s="97"/>
      <c r="F31" s="98"/>
      <c r="G31" s="105" t="s">
        <v>322</v>
      </c>
      <c r="H31" s="97"/>
      <c r="I31" s="98"/>
    </row>
    <row r="32" spans="1:9">
      <c r="A32" s="99" t="s">
        <v>48</v>
      </c>
      <c r="B32" s="100"/>
      <c r="C32" s="101"/>
      <c r="D32" s="106" t="s">
        <v>48</v>
      </c>
      <c r="E32" s="100"/>
      <c r="F32" s="101"/>
      <c r="G32" s="106" t="s">
        <v>48</v>
      </c>
      <c r="H32" s="100"/>
      <c r="I32" s="101"/>
    </row>
    <row r="33" spans="1:9">
      <c r="A33" s="99" t="s">
        <v>48</v>
      </c>
      <c r="B33" s="100"/>
      <c r="C33" s="101"/>
      <c r="D33" s="106" t="s">
        <v>48</v>
      </c>
      <c r="E33" s="100"/>
      <c r="F33" s="101"/>
      <c r="G33" s="106" t="s">
        <v>48</v>
      </c>
      <c r="H33" s="100"/>
      <c r="I33" s="101"/>
    </row>
    <row r="34" spans="1:9">
      <c r="A34" s="99" t="s">
        <v>48</v>
      </c>
      <c r="B34" s="100"/>
      <c r="C34" s="101"/>
      <c r="D34" s="106" t="s">
        <v>48</v>
      </c>
      <c r="E34" s="100"/>
      <c r="F34" s="101"/>
      <c r="G34" s="106" t="s">
        <v>48</v>
      </c>
      <c r="H34" s="100"/>
      <c r="I34" s="101"/>
    </row>
    <row r="35" spans="1:9">
      <c r="A35" s="102" t="s">
        <v>323</v>
      </c>
      <c r="B35" s="103"/>
      <c r="C35" s="104"/>
      <c r="D35" s="107" t="s">
        <v>323</v>
      </c>
      <c r="E35" s="103"/>
      <c r="F35" s="104"/>
      <c r="G35" s="107" t="s">
        <v>323</v>
      </c>
      <c r="H35" s="103"/>
      <c r="I35" s="104"/>
    </row>
    <row r="36" spans="1:9">
      <c r="A36" s="44" t="s">
        <v>279</v>
      </c>
    </row>
    <row r="37" spans="1:9" ht="12.75" customHeight="1">
      <c r="A37" s="60" t="s">
        <v>48</v>
      </c>
      <c r="B37" s="57"/>
      <c r="C37" s="57"/>
      <c r="D37" s="57"/>
      <c r="E37" s="57"/>
      <c r="F37" s="57"/>
      <c r="G37" s="57"/>
      <c r="H37" s="57"/>
      <c r="I37" s="57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>
      <c r="A1" s="70" t="s">
        <v>324</v>
      </c>
      <c r="B1" s="53"/>
      <c r="C1" s="53"/>
      <c r="D1" s="53"/>
      <c r="E1" s="53"/>
      <c r="F1" s="53"/>
      <c r="G1" s="53"/>
      <c r="H1" s="53"/>
      <c r="I1" s="53"/>
    </row>
    <row r="2" spans="1:9">
      <c r="A2" s="54" t="s">
        <v>1</v>
      </c>
      <c r="B2" s="55"/>
      <c r="C2" s="61" t="str">
        <f>'Stavební rozpočet'!C2</f>
        <v>Ořechov - inženýrské sítě pro výstavbu RD</v>
      </c>
      <c r="D2" s="62"/>
      <c r="E2" s="59" t="s">
        <v>5</v>
      </c>
      <c r="F2" s="59" t="str">
        <f>'Stavební rozpočet'!I2</f>
        <v> </v>
      </c>
      <c r="G2" s="55"/>
      <c r="H2" s="59" t="s">
        <v>281</v>
      </c>
      <c r="I2" s="64" t="s">
        <v>48</v>
      </c>
    </row>
    <row r="3" spans="1:9" ht="15" customHeight="1">
      <c r="A3" s="56"/>
      <c r="B3" s="57"/>
      <c r="C3" s="63"/>
      <c r="D3" s="63"/>
      <c r="E3" s="57"/>
      <c r="F3" s="57"/>
      <c r="G3" s="57"/>
      <c r="H3" s="57"/>
      <c r="I3" s="65"/>
    </row>
    <row r="4" spans="1:9">
      <c r="A4" s="58" t="s">
        <v>7</v>
      </c>
      <c r="B4" s="57"/>
      <c r="C4" s="60" t="str">
        <f>'Stavební rozpočet'!C4</f>
        <v>SO 01 Komunikace</v>
      </c>
      <c r="D4" s="57"/>
      <c r="E4" s="60" t="s">
        <v>11</v>
      </c>
      <c r="F4" s="60" t="str">
        <f>'Stavební rozpočet'!I4</f>
        <v> </v>
      </c>
      <c r="G4" s="57"/>
      <c r="H4" s="60" t="s">
        <v>281</v>
      </c>
      <c r="I4" s="65" t="s">
        <v>48</v>
      </c>
    </row>
    <row r="5" spans="1:9" ht="15" customHeight="1">
      <c r="A5" s="56"/>
      <c r="B5" s="57"/>
      <c r="C5" s="57"/>
      <c r="D5" s="57"/>
      <c r="E5" s="57"/>
      <c r="F5" s="57"/>
      <c r="G5" s="57"/>
      <c r="H5" s="57"/>
      <c r="I5" s="65"/>
    </row>
    <row r="6" spans="1:9">
      <c r="A6" s="58" t="s">
        <v>12</v>
      </c>
      <c r="B6" s="57"/>
      <c r="C6" s="60" t="str">
        <f>'Stavební rozpočet'!C6</f>
        <v>Ořechov</v>
      </c>
      <c r="D6" s="57"/>
      <c r="E6" s="60" t="s">
        <v>15</v>
      </c>
      <c r="F6" s="60" t="str">
        <f>'Stavební rozpočet'!I6</f>
        <v> </v>
      </c>
      <c r="G6" s="57"/>
      <c r="H6" s="60" t="s">
        <v>281</v>
      </c>
      <c r="I6" s="65" t="s">
        <v>48</v>
      </c>
    </row>
    <row r="7" spans="1:9" ht="15" customHeight="1">
      <c r="A7" s="56"/>
      <c r="B7" s="57"/>
      <c r="C7" s="57"/>
      <c r="D7" s="57"/>
      <c r="E7" s="57"/>
      <c r="F7" s="57"/>
      <c r="G7" s="57"/>
      <c r="H7" s="57"/>
      <c r="I7" s="65"/>
    </row>
    <row r="8" spans="1:9">
      <c r="A8" s="58" t="s">
        <v>9</v>
      </c>
      <c r="B8" s="57"/>
      <c r="C8" s="60" t="str">
        <f>'Stavební rozpočet'!G4</f>
        <v xml:space="preserve"> </v>
      </c>
      <c r="D8" s="57"/>
      <c r="E8" s="60" t="s">
        <v>14</v>
      </c>
      <c r="F8" s="60" t="str">
        <f>'Stavební rozpočet'!G6</f>
        <v xml:space="preserve"> </v>
      </c>
      <c r="G8" s="57"/>
      <c r="H8" s="57" t="s">
        <v>282</v>
      </c>
      <c r="I8" s="72">
        <v>64</v>
      </c>
    </row>
    <row r="9" spans="1:9">
      <c r="A9" s="56"/>
      <c r="B9" s="57"/>
      <c r="C9" s="57"/>
      <c r="D9" s="57"/>
      <c r="E9" s="57"/>
      <c r="F9" s="57"/>
      <c r="G9" s="57"/>
      <c r="H9" s="57"/>
      <c r="I9" s="65"/>
    </row>
    <row r="10" spans="1:9">
      <c r="A10" s="58" t="s">
        <v>16</v>
      </c>
      <c r="B10" s="57"/>
      <c r="C10" s="60" t="str">
        <f>'Stavební rozpočet'!C8</f>
        <v>8222771</v>
      </c>
      <c r="D10" s="57"/>
      <c r="E10" s="60" t="s">
        <v>19</v>
      </c>
      <c r="F10" s="60" t="str">
        <f>'Stavební rozpočet'!I8</f>
        <v>Ing. Čapek</v>
      </c>
      <c r="G10" s="57"/>
      <c r="H10" s="57" t="s">
        <v>283</v>
      </c>
      <c r="I10" s="73" t="str">
        <f>'Stavební rozpočet'!G8</f>
        <v>17.07.2025</v>
      </c>
    </row>
    <row r="11" spans="1:9">
      <c r="A11" s="71"/>
      <c r="B11" s="69"/>
      <c r="C11" s="69"/>
      <c r="D11" s="69"/>
      <c r="E11" s="69"/>
      <c r="F11" s="69"/>
      <c r="G11" s="69"/>
      <c r="H11" s="69"/>
      <c r="I11" s="74"/>
    </row>
    <row r="13" spans="1:9" ht="15.75">
      <c r="A13" s="108" t="s">
        <v>325</v>
      </c>
      <c r="B13" s="108"/>
      <c r="C13" s="108"/>
      <c r="D13" s="108"/>
      <c r="E13" s="108"/>
    </row>
    <row r="14" spans="1:9">
      <c r="A14" s="109" t="s">
        <v>326</v>
      </c>
      <c r="B14" s="110"/>
      <c r="C14" s="110"/>
      <c r="D14" s="110"/>
      <c r="E14" s="111"/>
      <c r="F14" s="45" t="s">
        <v>327</v>
      </c>
      <c r="G14" s="45" t="s">
        <v>328</v>
      </c>
      <c r="H14" s="45" t="s">
        <v>329</v>
      </c>
      <c r="I14" s="45" t="s">
        <v>327</v>
      </c>
    </row>
    <row r="15" spans="1:9">
      <c r="A15" s="112" t="s">
        <v>293</v>
      </c>
      <c r="B15" s="113"/>
      <c r="C15" s="113"/>
      <c r="D15" s="113"/>
      <c r="E15" s="114"/>
      <c r="F15" s="46">
        <v>0</v>
      </c>
      <c r="G15" s="47" t="s">
        <v>48</v>
      </c>
      <c r="H15" s="47" t="s">
        <v>48</v>
      </c>
      <c r="I15" s="46">
        <f>F15</f>
        <v>0</v>
      </c>
    </row>
    <row r="16" spans="1:9">
      <c r="A16" s="112" t="s">
        <v>295</v>
      </c>
      <c r="B16" s="113"/>
      <c r="C16" s="113"/>
      <c r="D16" s="113"/>
      <c r="E16" s="114"/>
      <c r="F16" s="46">
        <v>0</v>
      </c>
      <c r="G16" s="47" t="s">
        <v>48</v>
      </c>
      <c r="H16" s="47" t="s">
        <v>48</v>
      </c>
      <c r="I16" s="46">
        <f>F16</f>
        <v>0</v>
      </c>
    </row>
    <row r="17" spans="1:9">
      <c r="A17" s="115" t="s">
        <v>298</v>
      </c>
      <c r="B17" s="116"/>
      <c r="C17" s="116"/>
      <c r="D17" s="116"/>
      <c r="E17" s="117"/>
      <c r="F17" s="48">
        <v>0</v>
      </c>
      <c r="G17" s="49" t="s">
        <v>48</v>
      </c>
      <c r="H17" s="49" t="s">
        <v>48</v>
      </c>
      <c r="I17" s="48">
        <f>F17</f>
        <v>0</v>
      </c>
    </row>
    <row r="18" spans="1:9">
      <c r="A18" s="118" t="s">
        <v>330</v>
      </c>
      <c r="B18" s="119"/>
      <c r="C18" s="119"/>
      <c r="D18" s="119"/>
      <c r="E18" s="120"/>
      <c r="F18" s="50" t="s">
        <v>48</v>
      </c>
      <c r="G18" s="51" t="s">
        <v>48</v>
      </c>
      <c r="H18" s="51" t="s">
        <v>48</v>
      </c>
      <c r="I18" s="52">
        <f>SUM(I15:I17)</f>
        <v>0</v>
      </c>
    </row>
    <row r="20" spans="1:9">
      <c r="A20" s="109" t="s">
        <v>290</v>
      </c>
      <c r="B20" s="110"/>
      <c r="C20" s="110"/>
      <c r="D20" s="110"/>
      <c r="E20" s="111"/>
      <c r="F20" s="45" t="s">
        <v>327</v>
      </c>
      <c r="G20" s="45" t="s">
        <v>328</v>
      </c>
      <c r="H20" s="45" t="s">
        <v>329</v>
      </c>
      <c r="I20" s="45" t="s">
        <v>327</v>
      </c>
    </row>
    <row r="21" spans="1:9">
      <c r="A21" s="112" t="s">
        <v>294</v>
      </c>
      <c r="B21" s="113"/>
      <c r="C21" s="113"/>
      <c r="D21" s="113"/>
      <c r="E21" s="114"/>
      <c r="F21" s="47" t="s">
        <v>48</v>
      </c>
      <c r="G21" s="46">
        <v>2.2999999999999998</v>
      </c>
      <c r="H21" s="46">
        <f>'Krycí list rozpočtu'!C22</f>
        <v>0</v>
      </c>
      <c r="I21" s="46">
        <f>ROUND((G21/100)*H21,2)</f>
        <v>0</v>
      </c>
    </row>
    <row r="22" spans="1:9">
      <c r="A22" s="112" t="s">
        <v>296</v>
      </c>
      <c r="B22" s="113"/>
      <c r="C22" s="113"/>
      <c r="D22" s="113"/>
      <c r="E22" s="114"/>
      <c r="F22" s="46">
        <v>0</v>
      </c>
      <c r="G22" s="47" t="s">
        <v>48</v>
      </c>
      <c r="H22" s="47" t="s">
        <v>48</v>
      </c>
      <c r="I22" s="46">
        <f>F22</f>
        <v>0</v>
      </c>
    </row>
    <row r="23" spans="1:9">
      <c r="A23" s="112" t="s">
        <v>299</v>
      </c>
      <c r="B23" s="113"/>
      <c r="C23" s="113"/>
      <c r="D23" s="113"/>
      <c r="E23" s="114"/>
      <c r="F23" s="46">
        <v>0</v>
      </c>
      <c r="G23" s="47" t="s">
        <v>48</v>
      </c>
      <c r="H23" s="47" t="s">
        <v>48</v>
      </c>
      <c r="I23" s="46">
        <f>F23</f>
        <v>0</v>
      </c>
    </row>
    <row r="24" spans="1:9">
      <c r="A24" s="112" t="s">
        <v>300</v>
      </c>
      <c r="B24" s="113"/>
      <c r="C24" s="113"/>
      <c r="D24" s="113"/>
      <c r="E24" s="114"/>
      <c r="F24" s="46">
        <v>0</v>
      </c>
      <c r="G24" s="47" t="s">
        <v>48</v>
      </c>
      <c r="H24" s="47" t="s">
        <v>48</v>
      </c>
      <c r="I24" s="46">
        <f>F24</f>
        <v>0</v>
      </c>
    </row>
    <row r="25" spans="1:9">
      <c r="A25" s="112" t="s">
        <v>302</v>
      </c>
      <c r="B25" s="113"/>
      <c r="C25" s="113"/>
      <c r="D25" s="113"/>
      <c r="E25" s="114"/>
      <c r="F25" s="46">
        <v>0</v>
      </c>
      <c r="G25" s="47" t="s">
        <v>48</v>
      </c>
      <c r="H25" s="47" t="s">
        <v>48</v>
      </c>
      <c r="I25" s="46">
        <f>F25</f>
        <v>0</v>
      </c>
    </row>
    <row r="26" spans="1:9">
      <c r="A26" s="115" t="s">
        <v>303</v>
      </c>
      <c r="B26" s="116"/>
      <c r="C26" s="116"/>
      <c r="D26" s="116"/>
      <c r="E26" s="117"/>
      <c r="F26" s="48">
        <v>0</v>
      </c>
      <c r="G26" s="49" t="s">
        <v>48</v>
      </c>
      <c r="H26" s="49" t="s">
        <v>48</v>
      </c>
      <c r="I26" s="48">
        <f>F26</f>
        <v>0</v>
      </c>
    </row>
    <row r="27" spans="1:9">
      <c r="A27" s="118" t="s">
        <v>331</v>
      </c>
      <c r="B27" s="119"/>
      <c r="C27" s="119"/>
      <c r="D27" s="119"/>
      <c r="E27" s="120"/>
      <c r="F27" s="50" t="s">
        <v>48</v>
      </c>
      <c r="G27" s="51" t="s">
        <v>48</v>
      </c>
      <c r="H27" s="51" t="s">
        <v>48</v>
      </c>
      <c r="I27" s="52">
        <f>SUM(I21:I26)</f>
        <v>0</v>
      </c>
    </row>
    <row r="29" spans="1:9" ht="15.75">
      <c r="A29" s="121" t="s">
        <v>332</v>
      </c>
      <c r="B29" s="122"/>
      <c r="C29" s="122"/>
      <c r="D29" s="122"/>
      <c r="E29" s="123"/>
      <c r="F29" s="124">
        <f>I18+I27</f>
        <v>0</v>
      </c>
      <c r="G29" s="125"/>
      <c r="H29" s="125"/>
      <c r="I29" s="126"/>
    </row>
    <row r="33" spans="1:9" ht="15.75">
      <c r="A33" s="108" t="s">
        <v>333</v>
      </c>
      <c r="B33" s="108"/>
      <c r="C33" s="108"/>
      <c r="D33" s="108"/>
      <c r="E33" s="108"/>
    </row>
    <row r="34" spans="1:9">
      <c r="A34" s="109" t="s">
        <v>334</v>
      </c>
      <c r="B34" s="110"/>
      <c r="C34" s="110"/>
      <c r="D34" s="110"/>
      <c r="E34" s="111"/>
      <c r="F34" s="45" t="s">
        <v>327</v>
      </c>
      <c r="G34" s="45" t="s">
        <v>328</v>
      </c>
      <c r="H34" s="45" t="s">
        <v>329</v>
      </c>
      <c r="I34" s="45" t="s">
        <v>327</v>
      </c>
    </row>
    <row r="35" spans="1:9">
      <c r="A35" s="115" t="s">
        <v>48</v>
      </c>
      <c r="B35" s="116"/>
      <c r="C35" s="116"/>
      <c r="D35" s="116"/>
      <c r="E35" s="117"/>
      <c r="F35" s="48">
        <v>0</v>
      </c>
      <c r="G35" s="49" t="s">
        <v>48</v>
      </c>
      <c r="H35" s="49" t="s">
        <v>48</v>
      </c>
      <c r="I35" s="48">
        <f>F35</f>
        <v>0</v>
      </c>
    </row>
    <row r="36" spans="1:9">
      <c r="A36" s="118" t="s">
        <v>335</v>
      </c>
      <c r="B36" s="119"/>
      <c r="C36" s="119"/>
      <c r="D36" s="119"/>
      <c r="E36" s="120"/>
      <c r="F36" s="50" t="s">
        <v>48</v>
      </c>
      <c r="G36" s="51" t="s">
        <v>48</v>
      </c>
      <c r="H36" s="51" t="s">
        <v>48</v>
      </c>
      <c r="I36" s="52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SIPROS</cp:lastModifiedBy>
  <dcterms:created xsi:type="dcterms:W3CDTF">2021-06-10T20:06:38Z</dcterms:created>
  <dcterms:modified xsi:type="dcterms:W3CDTF">2025-10-08T08:33:04Z</dcterms:modified>
</cp:coreProperties>
</file>